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7400" windowHeight="12525" tabRatio="727" activeTab="0"/>
  </bookViews>
  <sheets>
    <sheet name="Zbiorcze_zobow" sheetId="1" r:id="rId1"/>
    <sheet name="Zob" sheetId="2" r:id="rId2"/>
    <sheet name="doch_wyd" sheetId="3" r:id="rId3"/>
    <sheet name="zob_nal" sheetId="4" r:id="rId4"/>
    <sheet name="G" sheetId="5" r:id="rId5"/>
    <sheet name="doch_wyd_gminy" sheetId="6" r:id="rId6"/>
    <sheet name="zob_nal_gminy" sheetId="7" r:id="rId7"/>
    <sheet name="P " sheetId="8" r:id="rId8"/>
    <sheet name="doch_wyd_powiaty" sheetId="9" r:id="rId9"/>
    <sheet name="zob_nal _powiaty" sheetId="10" r:id="rId10"/>
    <sheet name="M" sheetId="11" r:id="rId11"/>
    <sheet name="doch_wyd_MNPP" sheetId="12" r:id="rId12"/>
    <sheet name="zob_nal (2)" sheetId="13" r:id="rId13"/>
    <sheet name="zob_nal_MNPP" sheetId="14" r:id="rId14"/>
    <sheet name="W" sheetId="15" r:id="rId15"/>
    <sheet name="doch_wyd_woj" sheetId="16" r:id="rId16"/>
    <sheet name="zob_nal_woj" sheetId="17" r:id="rId17"/>
    <sheet name="doch_wyd_zwiazki" sheetId="18" r:id="rId18"/>
    <sheet name="zob_nal (3)" sheetId="19" r:id="rId19"/>
  </sheets>
  <definedNames>
    <definedName name="_xlnm.Print_Area" localSheetId="11">'doch_wyd_MNPP'!$B$1:$M$107</definedName>
    <definedName name="_xlnm.Print_Area" localSheetId="8">'doch_wyd_powiaty'!$A$1:$M$82</definedName>
    <definedName name="_xlnm.Print_Area" localSheetId="15">'doch_wyd_woj'!$B$1:$M$81</definedName>
    <definedName name="_xlnm.Print_Area" localSheetId="17">'doch_wyd_zwiazki'!$B$1:$M$81</definedName>
    <definedName name="_xlnm.Print_Area" localSheetId="4">'G'!$A$1:$L$27</definedName>
    <definedName name="_xlnm.Print_Area" localSheetId="10">'M'!$A$1:$M$77</definedName>
    <definedName name="_xlnm.Print_Area" localSheetId="7">'P '!$A$1:$M$324</definedName>
    <definedName name="_xlnm.Print_Area" localSheetId="0">'Zbiorcze_zobow'!$A$1:$E$71</definedName>
    <definedName name="_xlnm.Print_Area" localSheetId="1">'Zob'!$A$1:$K$25</definedName>
    <definedName name="_xlnm.Print_Area" localSheetId="12">'zob_nal (2)'!$A$1:$Q$48</definedName>
    <definedName name="_xlnm.Print_Area" localSheetId="18">'zob_nal (3)'!$A$1:$Q$48</definedName>
    <definedName name="_xlnm.Print_Area" localSheetId="9">'zob_nal _powiaty'!$A$1:$N$49</definedName>
    <definedName name="_xlnm.Print_Area" localSheetId="16">'zob_nal_woj'!$A$1:$Q$48</definedName>
    <definedName name="_xlnm.Print_Titles" localSheetId="7">'P '!$7:$7</definedName>
    <definedName name="_xlnm.Print_Titles" localSheetId="0">'Zbiorcze_zobow'!$2:$4</definedName>
  </definedNames>
  <calcPr fullCalcOnLoad="1"/>
</workbook>
</file>

<file path=xl/comments12.xml><?xml version="1.0" encoding="utf-8"?>
<comments xmlns="http://schemas.openxmlformats.org/spreadsheetml/2006/main">
  <authors>
    <author>Michał Chmielewski</author>
  </authors>
  <commentList>
    <comment ref="J6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comments16.xml><?xml version="1.0" encoding="utf-8"?>
<comments xmlns="http://schemas.openxmlformats.org/spreadsheetml/2006/main">
  <authors>
    <author>Michał Chmielewski</author>
  </authors>
  <commentList>
    <comment ref="J3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3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3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comments18.xml><?xml version="1.0" encoding="utf-8"?>
<comments xmlns="http://schemas.openxmlformats.org/spreadsheetml/2006/main">
  <authors>
    <author>Michał Chmielewski</author>
  </authors>
  <commentList>
    <comment ref="J3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3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3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3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comments3.xml><?xml version="1.0" encoding="utf-8"?>
<comments xmlns="http://schemas.openxmlformats.org/spreadsheetml/2006/main">
  <authors>
    <author>Michał Chmielewski</author>
  </authors>
  <commentLis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comments6.xml><?xml version="1.0" encoding="utf-8"?>
<comments xmlns="http://schemas.openxmlformats.org/spreadsheetml/2006/main">
  <authors>
    <author>Michał Chmielewski</author>
  </authors>
  <commentLis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comments9.xml><?xml version="1.0" encoding="utf-8"?>
<comments xmlns="http://schemas.openxmlformats.org/spreadsheetml/2006/main">
  <authors>
    <author>Michał Chmielewski</author>
  </authors>
  <commentList>
    <comment ref="J3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3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3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<sst xmlns="http://schemas.openxmlformats.org/spreadsheetml/2006/main" count="2937" uniqueCount="711">
  <si>
    <t>Wkod</t>
  </si>
  <si>
    <t>Nazwa województwa</t>
  </si>
  <si>
    <t>Ludność</t>
  </si>
  <si>
    <t>Wynik                   (5-6)</t>
  </si>
  <si>
    <t>Zobowiązania ogółem</t>
  </si>
  <si>
    <t>w tym:</t>
  </si>
  <si>
    <t>Zobowiązania ogółem na 1 mieszkańca</t>
  </si>
  <si>
    <t>Zobowiązania wymagalne na 1 mieszkańca</t>
  </si>
  <si>
    <t>7:4</t>
  </si>
  <si>
    <t>8:4</t>
  </si>
  <si>
    <t>zobowiązania wymagalne</t>
  </si>
  <si>
    <t>w złotych</t>
  </si>
  <si>
    <t>w %%</t>
  </si>
  <si>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</si>
  <si>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</si>
  <si>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</si>
  <si>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</si>
  <si>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</si>
  <si>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</si>
  <si>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</si>
  <si>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</si>
  <si>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</si>
  <si>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</si>
  <si>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</si>
  <si>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</si>
  <si>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</si>
  <si>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</si>
  <si>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</si>
  <si>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</si>
  <si>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</si>
  <si>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</si>
  <si>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</si>
  <si>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</si>
  <si>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</si>
  <si>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</si>
  <si>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</si>
  <si>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</si>
  <si>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</si>
  <si>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</si>
  <si>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</si>
  <si>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</si>
  <si>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</si>
  <si>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</si>
  <si>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</si>
  <si>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</si>
  <si>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OGÓŁEM</t>
  </si>
  <si>
    <t xml:space="preserve"> </t>
  </si>
  <si>
    <t>Pkod</t>
  </si>
  <si>
    <t>Nazwa miasta na prawach powiatu</t>
  </si>
  <si>
    <t>8:5</t>
  </si>
  <si>
    <t>9:5</t>
  </si>
  <si>
    <t>61</t>
  </si>
  <si>
    <t>Jelenia Góra</t>
  </si>
  <si>
    <t>62</t>
  </si>
  <si>
    <t>Legnica</t>
  </si>
  <si>
    <t>64</t>
  </si>
  <si>
    <t>Wrocław</t>
  </si>
  <si>
    <t>Bydgoszcz</t>
  </si>
  <si>
    <t>Grudziądz</t>
  </si>
  <si>
    <t>63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</si>
  <si>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</si>
  <si>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</si>
  <si>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</si>
  <si>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</si>
  <si>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</si>
  <si>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</si>
  <si>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</si>
  <si>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</si>
  <si>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</si>
  <si>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</si>
  <si>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</si>
  <si>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</si>
  <si>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</si>
  <si>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</si>
  <si>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</si>
  <si>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</si>
  <si>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</si>
  <si>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</si>
  <si>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65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</si>
  <si>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</si>
  <si>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</si>
  <si>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</si>
  <si>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</si>
  <si>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</si>
  <si>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</si>
  <si>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</si>
  <si>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</si>
  <si>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</si>
  <si>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</si>
  <si>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</si>
  <si>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</si>
  <si>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</si>
  <si>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</si>
  <si>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</si>
  <si>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</si>
  <si>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</si>
  <si>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</si>
  <si>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</si>
  <si>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</si>
  <si>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</si>
  <si>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</si>
  <si>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</si>
  <si>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</si>
  <si>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</si>
  <si>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</si>
  <si>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</si>
  <si>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</si>
  <si>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</si>
  <si>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</si>
  <si>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</si>
  <si>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</si>
  <si>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</si>
  <si>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</si>
  <si>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</si>
  <si>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</si>
  <si>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</si>
  <si>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</si>
  <si>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</si>
  <si>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</si>
  <si>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</si>
  <si>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</si>
  <si>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</si>
  <si>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</si>
  <si>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</si>
  <si>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</si>
  <si>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</si>
  <si>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</si>
  <si>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</si>
  <si>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</si>
  <si>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</si>
  <si>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</si>
  <si>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</si>
  <si>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Nazwa powiatu</t>
  </si>
  <si>
    <t>01</t>
  </si>
  <si>
    <t>bolesławiecki</t>
  </si>
  <si>
    <t>dzierżoniowski</t>
  </si>
  <si>
    <t>03</t>
  </si>
  <si>
    <t>głogowski</t>
  </si>
  <si>
    <t>górowski</t>
  </si>
  <si>
    <t>05</t>
  </si>
  <si>
    <t>jaworski</t>
  </si>
  <si>
    <t>jeleniogórski</t>
  </si>
  <si>
    <t>07</t>
  </si>
  <si>
    <t>kamiennogórski</t>
  </si>
  <si>
    <t>kłodzki</t>
  </si>
  <si>
    <t>09</t>
  </si>
  <si>
    <t>legnicki</t>
  </si>
  <si>
    <t>lubański</t>
  </si>
  <si>
    <t>11</t>
  </si>
  <si>
    <t>lubiński</t>
  </si>
  <si>
    <t>lwówecki</t>
  </si>
  <si>
    <t>13</t>
  </si>
  <si>
    <t>milicki</t>
  </si>
  <si>
    <t>oleśnicki</t>
  </si>
  <si>
    <t>15</t>
  </si>
  <si>
    <t>oławski</t>
  </si>
  <si>
    <t>polkowicki</t>
  </si>
  <si>
    <t>17</t>
  </si>
  <si>
    <t>strzeliński</t>
  </si>
  <si>
    <t>średzki</t>
  </si>
  <si>
    <t>19</t>
  </si>
  <si>
    <t>świdnicki</t>
  </si>
  <si>
    <t>trzebnicki</t>
  </si>
  <si>
    <t>21</t>
  </si>
  <si>
    <t>wałbrzyski</t>
  </si>
  <si>
    <t>wołowski</t>
  </si>
  <si>
    <t>23</t>
  </si>
  <si>
    <t>wrocławski</t>
  </si>
  <si>
    <t>ząbkowicki</t>
  </si>
  <si>
    <t>25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</si>
  <si>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</si>
  <si>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</si>
  <si>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</si>
  <si>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</si>
  <si>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</si>
  <si>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</si>
  <si>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</si>
  <si>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</si>
  <si>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</si>
  <si>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</si>
  <si>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</si>
  <si>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</si>
  <si>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</si>
  <si>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</si>
  <si>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</si>
  <si>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</si>
  <si>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</si>
  <si>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</si>
  <si>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</si>
  <si>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</si>
  <si>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</si>
  <si>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</si>
  <si>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</si>
  <si>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</si>
  <si>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</si>
  <si>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</si>
  <si>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</si>
  <si>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</si>
  <si>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</si>
  <si>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</si>
  <si>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</si>
  <si>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</si>
  <si>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</si>
  <si>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</si>
  <si>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</si>
  <si>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</si>
  <si>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</si>
  <si>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</si>
  <si>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</si>
  <si>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</si>
  <si>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</si>
  <si>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</si>
  <si>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</si>
  <si>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</si>
  <si>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</si>
  <si>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</si>
  <si>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</si>
  <si>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</si>
  <si>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</si>
  <si>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</si>
  <si>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</si>
  <si>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</si>
  <si>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</si>
  <si>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</si>
  <si>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</si>
  <si>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</si>
  <si>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</si>
  <si>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</si>
  <si>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</si>
  <si>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</si>
  <si>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</si>
  <si>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</si>
  <si>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</si>
  <si>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</si>
  <si>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</si>
  <si>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</si>
  <si>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</si>
  <si>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</si>
  <si>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</si>
  <si>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</si>
  <si>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</si>
  <si>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</si>
  <si>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</si>
  <si>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</si>
  <si>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</si>
  <si>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</si>
  <si>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</si>
  <si>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</si>
  <si>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</si>
  <si>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</si>
  <si>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</si>
  <si>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</si>
  <si>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</si>
  <si>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</si>
  <si>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</si>
  <si>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</si>
  <si>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</si>
  <si>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</si>
  <si>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</si>
  <si>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</si>
  <si>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</si>
  <si>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</si>
  <si>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</si>
  <si>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</si>
  <si>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</si>
  <si>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</si>
  <si>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</si>
  <si>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</si>
  <si>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</si>
  <si>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</si>
  <si>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</si>
  <si>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</si>
  <si>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</si>
  <si>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</si>
  <si>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</si>
  <si>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</si>
  <si>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</si>
  <si>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</si>
  <si>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</si>
  <si>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</si>
  <si>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</si>
  <si>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</si>
  <si>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</si>
  <si>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</si>
  <si>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</si>
  <si>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</si>
  <si>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</si>
  <si>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</si>
  <si>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sochaczewski</t>
  </si>
  <si>
    <t>29</t>
  </si>
  <si>
    <t>sokołowski</t>
  </si>
  <si>
    <t>szydłowiecki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</si>
  <si>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</si>
  <si>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</si>
  <si>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</si>
  <si>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</si>
  <si>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</si>
  <si>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</si>
  <si>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</si>
  <si>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</si>
  <si>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</si>
  <si>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</si>
  <si>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</si>
  <si>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</si>
  <si>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</si>
  <si>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</si>
  <si>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</si>
  <si>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</si>
  <si>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</si>
  <si>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</si>
  <si>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</si>
  <si>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</si>
  <si>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</si>
  <si>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</si>
  <si>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</si>
  <si>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</si>
  <si>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</si>
  <si>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</si>
  <si>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</si>
  <si>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</si>
  <si>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</si>
  <si>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</si>
  <si>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</si>
  <si>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</si>
  <si>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</si>
  <si>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</si>
  <si>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</si>
  <si>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</si>
  <si>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</si>
  <si>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</si>
  <si>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</si>
  <si>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</si>
  <si>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</si>
  <si>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</si>
  <si>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</si>
  <si>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</si>
  <si>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</si>
  <si>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</si>
  <si>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</si>
  <si>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</si>
  <si>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</si>
  <si>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</si>
  <si>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</si>
  <si>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</si>
  <si>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</si>
  <si>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</si>
  <si>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</si>
  <si>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</si>
  <si>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</si>
  <si>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</si>
  <si>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</si>
  <si>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</si>
  <si>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</si>
  <si>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</si>
  <si>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</si>
  <si>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</si>
  <si>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</si>
  <si>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</si>
  <si>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</si>
  <si>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</si>
  <si>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</si>
  <si>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</si>
  <si>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</si>
  <si>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</si>
  <si>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</si>
  <si>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</si>
  <si>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</si>
  <si>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</si>
  <si>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</si>
  <si>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</si>
  <si>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</si>
  <si>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</si>
  <si>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</si>
  <si>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</si>
  <si>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</si>
  <si>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</si>
  <si>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</si>
  <si>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</si>
  <si>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</si>
  <si>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</si>
  <si>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</si>
  <si>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</si>
  <si>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</si>
  <si>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</si>
  <si>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</si>
  <si>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</si>
  <si>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</si>
  <si>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</si>
  <si>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</si>
  <si>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</si>
  <si>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</si>
  <si>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</si>
  <si>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</si>
  <si>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</si>
  <si>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</si>
  <si>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</si>
  <si>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</si>
  <si>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</si>
  <si>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</si>
  <si>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</si>
  <si>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</si>
  <si>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</si>
  <si>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</si>
  <si>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</si>
  <si>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</si>
  <si>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</si>
  <si>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</si>
  <si>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</si>
  <si>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</si>
  <si>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</si>
  <si>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</si>
  <si>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</si>
  <si>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</si>
  <si>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</si>
  <si>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</si>
  <si>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</si>
  <si>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</si>
  <si>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</si>
  <si>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</si>
  <si>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</si>
  <si>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</si>
  <si>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</si>
  <si>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</si>
  <si>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</si>
  <si>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</si>
  <si>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</si>
  <si>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</si>
  <si>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</si>
  <si>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</si>
  <si>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</si>
  <si>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</si>
  <si>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</si>
  <si>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</si>
  <si>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</si>
  <si>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</si>
  <si>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</si>
  <si>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</si>
  <si>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</si>
  <si>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31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</si>
  <si>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</si>
  <si>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</si>
  <si>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</si>
  <si>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</si>
  <si>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</si>
  <si>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</si>
  <si>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</si>
  <si>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</si>
  <si>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</si>
  <si>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</si>
  <si>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</si>
  <si>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</si>
  <si>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</si>
  <si>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</si>
  <si>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</si>
  <si>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</si>
  <si>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</si>
  <si>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</si>
  <si>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</si>
  <si>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WK</t>
  </si>
  <si>
    <t>m. st. Warszawa</t>
  </si>
  <si>
    <t>Wyszczególnienie</t>
  </si>
  <si>
    <t>Liczba jednostek</t>
  </si>
  <si>
    <t>Gminy</t>
  </si>
  <si>
    <t>Miasta na prawach powiatu</t>
  </si>
  <si>
    <t>Powiaty</t>
  </si>
  <si>
    <t>Lp.</t>
  </si>
  <si>
    <t>Województwa</t>
  </si>
  <si>
    <t>z tego:</t>
  </si>
  <si>
    <t>4:3</t>
  </si>
  <si>
    <t>5:3</t>
  </si>
  <si>
    <t>6:3</t>
  </si>
  <si>
    <t>7:3</t>
  </si>
  <si>
    <t>w pełnych złotych</t>
  </si>
  <si>
    <t>gminy</t>
  </si>
  <si>
    <t>powiaty</t>
  </si>
  <si>
    <t>miasta na prawach powiatu</t>
  </si>
  <si>
    <t>województwa</t>
  </si>
  <si>
    <t>%%</t>
  </si>
  <si>
    <t>POLSKA</t>
  </si>
  <si>
    <t>Dochody planowane</t>
  </si>
  <si>
    <t>Wydatki planowane</t>
  </si>
  <si>
    <t>Wynik 
(5-6)</t>
  </si>
  <si>
    <t>Wynik
(5-6)</t>
  </si>
  <si>
    <t>Jednostki  miary</t>
  </si>
  <si>
    <t xml:space="preserve">Jednostki  samorządu terytorialnego </t>
  </si>
  <si>
    <t>Dochody planowane ogółem</t>
  </si>
  <si>
    <t>tys. zł</t>
  </si>
  <si>
    <t xml:space="preserve">tys. zł </t>
  </si>
  <si>
    <t>Zobowiązania wymagalne</t>
  </si>
  <si>
    <t>Wydatki na obsługę długu</t>
  </si>
  <si>
    <t>Wydatki z tytułu udzielonych poręczeń i gwarancji</t>
  </si>
  <si>
    <t>Relacja zobowiązań  ogółem do dochodów planowanych ogółem</t>
  </si>
  <si>
    <t>Relacja zobowiązań  ogółem bez środków z UE do dochodów planowanych ogółem</t>
  </si>
  <si>
    <t>Relacja zobowiązań wymagalnych do dochodów planowanych ogółem</t>
  </si>
  <si>
    <t xml:space="preserve">   %%</t>
  </si>
  <si>
    <t>Relacja zobowiązań wymagalnych do zobowiązań ogółem</t>
  </si>
  <si>
    <t xml:space="preserve">  %%</t>
  </si>
  <si>
    <t xml:space="preserve">Wydatki z tytułu udzielonych poręczeń i gwarancji </t>
  </si>
  <si>
    <t xml:space="preserve">Zobowiązania wymagalne </t>
  </si>
  <si>
    <t>tys.zł</t>
  </si>
  <si>
    <t xml:space="preserve">Wyszczególnienie </t>
  </si>
  <si>
    <t xml:space="preserve">Struktura </t>
  </si>
  <si>
    <t>Wskaźnik 
(3:2)</t>
  </si>
  <si>
    <t>Struktura dochodów  własnych</t>
  </si>
  <si>
    <t>DOCHODY OGÓŁEM</t>
  </si>
  <si>
    <t>Razem dochody własne 
z tego:</t>
  </si>
  <si>
    <t xml:space="preserve">podatek dochodowy od osób prawnych 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</si>
  <si>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</si>
  <si>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</si>
  <si>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</si>
  <si>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</si>
  <si>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</si>
  <si>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 xml:space="preserve">podatek od dział. gosp. osób fizycznych, opłacany w formie karty podatkowej 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</si>
  <si>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</si>
  <si>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</si>
  <si>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</si>
  <si>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</si>
  <si>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</si>
  <si>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dochody z majątku</t>
  </si>
  <si>
    <t xml:space="preserve">pozostałe dochody </t>
  </si>
  <si>
    <t>Dotacje celowe 
z tego:</t>
  </si>
  <si>
    <t>#</t>
  </si>
  <si>
    <t>na zadania z zakresu adm. rządowej</t>
  </si>
  <si>
    <t>w tym:   inwestycyjne</t>
  </si>
  <si>
    <t xml:space="preserve">na zadania własne </t>
  </si>
  <si>
    <t xml:space="preserve">na zadania realizowane na podstawie porozumień  z org. adm. rządowej </t>
  </si>
  <si>
    <t>na zadania realizowane na podstawie porozumień między jst</t>
  </si>
  <si>
    <t>otrzymane z funduszy celowych</t>
  </si>
  <si>
    <t>Subwencja ogólna 
z tego:</t>
  </si>
  <si>
    <t>część wyrównawcza</t>
  </si>
  <si>
    <t>część oświatowa</t>
  </si>
  <si>
    <t>część rekompensująca</t>
  </si>
  <si>
    <t>część równoważąca</t>
  </si>
  <si>
    <t>część regionalna</t>
  </si>
  <si>
    <t>uzupełnienie subwencji ogólnej</t>
  </si>
  <si>
    <t>Zobowiązania wg stanu na koniec 
okresu sprawozdawczego</t>
  </si>
  <si>
    <t>Wskaźnik 
(4:2)</t>
  </si>
  <si>
    <t>w tym wymagalne:</t>
  </si>
  <si>
    <t>WYDATKI OGÓŁEM 
z tego:</t>
  </si>
  <si>
    <t xml:space="preserve">wydatki majątkowe      </t>
  </si>
  <si>
    <t>w tym:   wydatki na inwestycje</t>
  </si>
  <si>
    <t>wydatki bieżące 
z tego:</t>
  </si>
  <si>
    <t xml:space="preserve">wydatki na wynagrodzenia </t>
  </si>
  <si>
    <t>w tym:   wynagrodzenia osobowe</t>
  </si>
  <si>
    <t>pochodne od wynagrodzeń</t>
  </si>
  <si>
    <t>dotacje</t>
  </si>
  <si>
    <t>wydatki na obsługę długu</t>
  </si>
  <si>
    <t>wydatki z tytułu udzielania poręczeń i gwarancji</t>
  </si>
  <si>
    <t>pozostałe wydatki</t>
  </si>
  <si>
    <t xml:space="preserve">WYNIK  </t>
  </si>
  <si>
    <t>Plan (po zmianach)</t>
  </si>
  <si>
    <t xml:space="preserve">Wykonanie </t>
  </si>
  <si>
    <t>Struktura</t>
  </si>
  <si>
    <t>Wskaźnik</t>
  </si>
  <si>
    <t xml:space="preserve">FINANSOWANIE </t>
  </si>
  <si>
    <t>Przychody ogółem 
z tego:</t>
  </si>
  <si>
    <t>kredyty i pożyczki w tym:</t>
  </si>
  <si>
    <t>na realizację programów i projektów realizowanych z udziałem środków, o których mowa w art. 5 ust.3 ustawy o finansach publicznych</t>
  </si>
  <si>
    <t>na realizację programów i projektów realizowanych z udziałem środków pochodzących z funduszy strukturalnych i Funduszu Spójności UE, w tym:</t>
  </si>
  <si>
    <t>spłata pożyczek udzielonych</t>
  </si>
  <si>
    <t xml:space="preserve">  spłaty pożyczek udzielonych</t>
  </si>
  <si>
    <t>nadwyżka z lat ubiegłych w tym:</t>
  </si>
  <si>
    <t xml:space="preserve">  nadwyżka z lat ubiegłych</t>
  </si>
  <si>
    <t>środki na pokrycie deficytu</t>
  </si>
  <si>
    <t xml:space="preserve">    w tym: środki na pokrycie deficytu</t>
  </si>
  <si>
    <t>papiery wartościowe w tym:</t>
  </si>
  <si>
    <t xml:space="preserve">  papiery wartościowe</t>
  </si>
  <si>
    <t>obligacje jednostek samorzadowych oraz związków komunalnych w tym:</t>
  </si>
  <si>
    <t xml:space="preserve">  obligacje j.s.t. oraz związków komunalnych</t>
  </si>
  <si>
    <t>prywatyzacja majątku jst</t>
  </si>
  <si>
    <t xml:space="preserve">  prywatyzacja majątku j.s.t.</t>
  </si>
  <si>
    <t>inne źródła w tym:</t>
  </si>
  <si>
    <t xml:space="preserve">  inne źródła</t>
  </si>
  <si>
    <t>Rozchody ogółem 
z tego:</t>
  </si>
  <si>
    <t xml:space="preserve"> ROZCHODY OGÓŁEM     z tego:</t>
  </si>
  <si>
    <t>spłaty kredytów i pożyczek w tym:</t>
  </si>
  <si>
    <t xml:space="preserve">  spłaty kredytów i pożyczek</t>
  </si>
  <si>
    <t>na realizację programów i projektów realizowanych z udziałem środków, o których mowa w art. 5 ust 3 ustawy o finansach publicznych</t>
  </si>
  <si>
    <t>pożyczki (udzielone)</t>
  </si>
  <si>
    <t xml:space="preserve">  pożyczki</t>
  </si>
  <si>
    <t>wykup papierów wartościowych w tym:</t>
  </si>
  <si>
    <t xml:space="preserve">  wykup papierów wartościowych</t>
  </si>
  <si>
    <t>wykup obligacji samorządowych w tym:</t>
  </si>
  <si>
    <t xml:space="preserve">  wykup obligacji samorządowych</t>
  </si>
  <si>
    <t>inne cele</t>
  </si>
  <si>
    <t xml:space="preserve">  inne cele</t>
  </si>
  <si>
    <t>kwartał</t>
  </si>
  <si>
    <t>rok</t>
  </si>
  <si>
    <t>stanNa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</si>
  <si>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</si>
  <si>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</si>
  <si>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</si>
  <si>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</si>
  <si>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</si>
  <si>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</si>
  <si>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</si>
  <si>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</si>
  <si>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</si>
  <si>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</si>
  <si>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</si>
  <si>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Wydatki, które nie wygasły 
z upływem roku budżetowego) 
(art.191 ust. 1a i ust. 2 ustawy 
o finansach publicznych) 
</t>
    </r>
    <r>
      <rPr>
        <b/>
        <sz val="10"/>
        <rFont val="Arial"/>
        <family val="2"/>
      </rPr>
      <t>R9</t>
    </r>
  </si>
  <si>
    <r>
      <t xml:space="preserve">ogółem
</t>
    </r>
    <r>
      <rPr>
        <b/>
        <sz val="10"/>
        <rFont val="Arial"/>
        <family val="2"/>
      </rPr>
      <t>R11</t>
    </r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</si>
  <si>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</si>
  <si>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</si>
  <si>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t>Zobowiązania według tytułów dłużnych (wg wartości nominalnej)</t>
  </si>
  <si>
    <t>kwota 
zadłużenia
ogółem
(kol. 3+15)</t>
  </si>
  <si>
    <t>wierzyciele krajowi</t>
  </si>
  <si>
    <t xml:space="preserve">      wierzyciele zagraniczni</t>
  </si>
  <si>
    <t>ogółem 
(kol. 4+9+10+11 +12+13+14)</t>
  </si>
  <si>
    <t>sektora finansów publicznych (kol.5+7+8)</t>
  </si>
  <si>
    <t>grupa I</t>
  </si>
  <si>
    <t>grupa II</t>
  </si>
  <si>
    <t>grupa III</t>
  </si>
  <si>
    <t>grupa IV</t>
  </si>
  <si>
    <t>bank 
centralny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</si>
  <si>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</si>
  <si>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</si>
  <si>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</si>
  <si>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</si>
  <si>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</si>
  <si>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</si>
  <si>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</si>
  <si>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</si>
  <si>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</si>
  <si>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</si>
  <si>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</si>
  <si>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</si>
  <si>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</si>
  <si>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</si>
  <si>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</si>
  <si>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</si>
  <si>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</si>
  <si>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</si>
  <si>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</si>
  <si>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A. Należności oraz wybrane aktywa finansowe</t>
  </si>
  <si>
    <t>kwota 
należności
ogółem
(kol. 3+15)</t>
  </si>
  <si>
    <t>dłużnicy  krajowi</t>
  </si>
  <si>
    <t xml:space="preserve">      dłużnicy zagraniczni</t>
  </si>
  <si>
    <t>ogółem 
(kol 4+9+10+11 +12+13+14)</t>
  </si>
  <si>
    <t>sektor 
finansów 
publicznych 
ogółem 
(kol 5+6+7+8)</t>
  </si>
  <si>
    <t xml:space="preserve">grupa I </t>
  </si>
  <si>
    <t xml:space="preserve">grupa II </t>
  </si>
  <si>
    <t xml:space="preserve">grupa III </t>
  </si>
  <si>
    <t>banku centralnego</t>
  </si>
  <si>
    <t>N. NALEŻNOŚCI ORAZ WYBRANE AKTYWA FINANSOWE  (N1+N2+N3+N4+N5)   z tego:</t>
  </si>
  <si>
    <t>N1 papiery wartościowe (N1.1+N1.2)</t>
  </si>
  <si>
    <t>N1.1 krótkotermionowe</t>
  </si>
  <si>
    <t>N1.2  długoterminowe</t>
  </si>
  <si>
    <t>N2  pożyczki (N2.1+N2.2)</t>
  </si>
  <si>
    <t>N2.1 krótkotermionowe</t>
  </si>
  <si>
    <t>N2.2 długoterminowe</t>
  </si>
  <si>
    <t>N3 gotówka i depozyty (N3.1+N3.2+N3.3)</t>
  </si>
  <si>
    <t>N3.1 gotówka</t>
  </si>
  <si>
    <t>N3.2 depozyty na żądanie</t>
  </si>
  <si>
    <t>N3.3 depozyty terminowe</t>
  </si>
  <si>
    <t>N4 należności wymagalne (N4.1+N4.2)</t>
  </si>
  <si>
    <t>N4.1 z tytułu dostaw towarów i usług</t>
  </si>
  <si>
    <t>N4.2 pozostałe</t>
  </si>
  <si>
    <t>N5 pozostałe należności  (N5.1+N5.2+N5.3)</t>
  </si>
  <si>
    <t>N5.1 z tytułu dostaw towarów i usług</t>
  </si>
  <si>
    <t>N5.2 z tytułu podatków i składek na 
ubezpieczenia społ.</t>
  </si>
  <si>
    <t>N5.3 z tytułu innych niż wymienione powyżej</t>
  </si>
  <si>
    <t>Poręczenia i gwarancje</t>
  </si>
  <si>
    <t>kwota 
zadłużenia
ogółem
(kol. 3+8)</t>
  </si>
  <si>
    <t>wierzyciele</t>
  </si>
  <si>
    <t>podmioty 
sektora finansów 
publicznych 
(kol.4+5+6+7)</t>
  </si>
  <si>
    <t xml:space="preserve">grupa IV </t>
  </si>
  <si>
    <t>pozostałe
podmioty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</si>
  <si>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</si>
  <si>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</si>
  <si>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</si>
  <si>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</si>
  <si>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</si>
  <si>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</si>
  <si>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</si>
  <si>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Wykonanie</t>
  </si>
  <si>
    <t>JST, których budżety zamknęły się nadwyżką</t>
  </si>
  <si>
    <t>JST, których budżety zamknęły się deficytem</t>
  </si>
  <si>
    <t>JST z budżetami zrównoważonymi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</si>
  <si>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</si>
  <si>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</si>
  <si>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</si>
  <si>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</si>
  <si>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opłata skarbowa</t>
  </si>
  <si>
    <t>opłata eksploatacyjna</t>
  </si>
  <si>
    <t>opłata targowa</t>
  </si>
  <si>
    <t>- część gminna</t>
  </si>
  <si>
    <t>- część powiatowa</t>
  </si>
  <si>
    <t>- pozostałe</t>
  </si>
  <si>
    <t>Subwencja ogólna dla gmin z tego:</t>
  </si>
  <si>
    <t>Subwencja ogólna dla powiatów z tego:</t>
  </si>
  <si>
    <t>na realizację programów i projektów realizowanych z udziałem środków, o których mowa w art. 5 ust. 3 ustawy o finansach publicznych</t>
  </si>
  <si>
    <t>Zobowiązania ogółem bez środków na realizację projektów unijnych</t>
  </si>
  <si>
    <t>Związki jednostek samorzadu terytorialnego</t>
  </si>
  <si>
    <t>Zobowiązania jednostek samorządu terytorialnego według województw za 2 kwartały 2008 r.</t>
  </si>
  <si>
    <t>Źródło: Sprawozdania z wykonania budżetów jednostek samorządu terytorialnego za 2 kwartały 2008 r. (Min.Fin)</t>
  </si>
  <si>
    <t>Źródło: Sprawozdania kwartalne z wykonania budżetów jednostek samorządu terytorialnego za 2 kwartały w latach 2006 - 2008 (Min. Fin.)</t>
  </si>
  <si>
    <t>2 kwartały</t>
  </si>
  <si>
    <t>Zestawienie dochodów, wydatków, wyniku oraz zobowiązań gmin według województw za 2 kwartały 2008 roku</t>
  </si>
  <si>
    <t>Źródło: Sprawozdania z wykonania budżetów gmin za 2 kwartały 2008 r. (Min.Fin)</t>
  </si>
  <si>
    <t>Zbiorcze dane dotyczące zobowiązań poszczególnych rodzajów jednostek samorządu terytorialnego 
za 2 kwartały w latach 2006 - 2008.</t>
  </si>
  <si>
    <t>Zestawienie dochodów, wydatków, wyniku oraz zobowiązań w poszczególnych powiatach za 2 kwartały 2008 roku</t>
  </si>
  <si>
    <t>lubartowski</t>
  </si>
  <si>
    <t>Źródło: Sprawozdania z wykonania budżetów powiatów za 2 kwartały 2008 r. (Min.Fin)</t>
  </si>
  <si>
    <t>75</t>
  </si>
  <si>
    <t>Sosnowiec</t>
  </si>
  <si>
    <t>Źródło: Sprawozdania z wykonania budżetów miast na prawach powiatu za 2 kwartały 2008 r. (Min.Fin.)</t>
  </si>
  <si>
    <t>Zestawienie dochodów, wydatków, wyniku oraz zobowiązań w poszczególnych miastach na prawach powiatu za 2 kwartały 2008 roku</t>
  </si>
  <si>
    <t>Źródło: Sprawozdania z wykonania budżetów województw za 2 kwartały 2008 r. (Min.Fin.)</t>
  </si>
  <si>
    <t>Zestawienie dochodów, wydatków, wyniku oraz zobowiązań w poszczególnych województwach za 2 kwartały 2008 roku</t>
  </si>
  <si>
    <t>Dane za  2 kwartały  
w  latach 2006 - 2008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</si>
</sst>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"/>
    <numFmt numFmtId="166" formatCode="#,##0.0"/>
    <numFmt numFmtId="167" formatCode="#,##0___\"/>
    <numFmt numFmtId="168" formatCode="0.0%"/>
    <numFmt numFmtId="169" formatCode="#,##0.0_ ;\-#,##0.0\ "/>
    <numFmt numFmtId="170" formatCode="0.0000000000"/>
    <numFmt numFmtId="171" formatCode="0.00000000000000"/>
    <numFmt numFmtId="172" formatCode="0.000000000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000000"/>
    <numFmt numFmtId="179" formatCode="0.00000000000"/>
    <numFmt numFmtId="180" formatCode="0.000000000000"/>
    <numFmt numFmtId="181" formatCode="0.0000000000000"/>
    <numFmt numFmtId="182" formatCode="0.000000000000000"/>
    <numFmt numFmtId="183" formatCode="0.0000000000000000"/>
    <numFmt numFmtId="184" formatCode="0.000"/>
    <numFmt numFmtId="185" formatCode="0.00000000000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00"/>
    <numFmt numFmtId="191" formatCode="#,##0.0000"/>
    <numFmt numFmtId="192" formatCode="#,##0.00000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[$€-2]\ #,##0.00_);[Red]\([$€-2]\ #,##0.00\)"/>
    <numFmt numFmtId="197" formatCode="#,##0;[Red]#,##0"/>
    <numFmt numFmtId="198" formatCode="#,##0.00;[Red]#,##0.00"/>
    <numFmt numFmtId="199" formatCode="#,##0.0;[Red]#,##0.0"/>
    <numFmt numFmtId="200" formatCode="[$-415]d\ mmmm\ yyyy"/>
    <numFmt numFmtId="201" formatCode="dd/mm/yy\ h:mm;@"/>
    <numFmt numFmtId="202" formatCode="_-* #,##0.0\ _z_ł_-;\-* #,##0.0\ _z_ł_-;_-* &quot;-&quot;??\ _z_ł_-;_-@_-"/>
    <numFmt numFmtId="203" formatCode="_-* #,##0\ _z_ł_-;\-* #,##0\ _z_ł_-;_-* &quot;-&quot;??\ _z_ł_-;_-@_-"/>
  </numFmts>
  <fonts count="6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.5"/>
      <name val="Arial"/>
      <family val="2"/>
    </font>
    <font>
      <sz val="8"/>
      <name val="Tahoma"/>
      <family val="0"/>
    </font>
    <font>
      <sz val="11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1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6" borderId="1" applyNumberFormat="0" applyAlignment="0" applyProtection="0"/>
    <xf numFmtId="0" fontId="25" fillId="16" borderId="3" applyNumberFormat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6" borderId="1" applyNumberFormat="0" applyAlignment="0" applyProtection="0"/>
    <xf numFmtId="0" fontId="33" fillId="0" borderId="7" applyNumberFormat="0" applyFill="0" applyAlignment="0" applyProtection="0"/>
    <xf numFmtId="0" fontId="34" fillId="17" borderId="2" applyNumberFormat="0" applyAlignment="0" applyProtection="0"/>
    <xf numFmtId="0" fontId="35" fillId="0" borderId="7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" borderId="8" applyNumberFormat="0" applyFont="0" applyAlignment="0" applyProtection="0"/>
    <xf numFmtId="0" fontId="41" fillId="16" borderId="1" applyNumberFormat="0" applyAlignment="0" applyProtection="0"/>
    <xf numFmtId="0" fontId="5" fillId="0" borderId="0" applyNumberFormat="0" applyFill="0" applyBorder="0" applyAlignment="0" applyProtection="0"/>
    <xf numFmtId="0" fontId="42" fillId="16" borderId="3" applyNumberForma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4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15" borderId="0" applyNumberFormat="0" applyBorder="0" applyAlignment="0" applyProtection="0"/>
  </cellStyleXfs>
  <cellXfs count="873">
    <xf numFmtId="0" fontId="0" fillId="0" borderId="0" xfId="0" applyAlignment="1">
      <alignment/>
    </xf>
    <xf numFmtId="0" fontId="8" fillId="0" borderId="0" xfId="108" applyFont="1">
      <alignment/>
      <protection/>
    </xf>
    <xf numFmtId="1" fontId="9" fillId="0" borderId="0" xfId="108" applyNumberFormat="1" applyFont="1">
      <alignment/>
      <protection/>
    </xf>
    <xf numFmtId="0" fontId="8" fillId="0" borderId="10" xfId="108" applyFont="1" applyBorder="1">
      <alignment/>
      <protection/>
    </xf>
    <xf numFmtId="0" fontId="9" fillId="0" borderId="11" xfId="108" applyFont="1" applyBorder="1" applyAlignment="1">
      <alignment horizontal="center" vertical="center" wrapText="1"/>
      <protection/>
    </xf>
    <xf numFmtId="0" fontId="11" fillId="0" borderId="12" xfId="108" applyFont="1" applyBorder="1" applyAlignment="1">
      <alignment horizontal="center" vertical="center"/>
      <protection/>
    </xf>
    <xf numFmtId="0" fontId="11" fillId="0" borderId="13" xfId="108" applyFont="1" applyBorder="1" applyAlignment="1">
      <alignment horizontal="center" vertical="center"/>
      <protection/>
    </xf>
    <xf numFmtId="0" fontId="11" fillId="0" borderId="11" xfId="108" applyFont="1" applyBorder="1" applyAlignment="1">
      <alignment horizontal="center" vertical="center"/>
      <protection/>
    </xf>
    <xf numFmtId="0" fontId="11" fillId="0" borderId="14" xfId="108" applyFont="1" applyBorder="1" applyAlignment="1">
      <alignment horizontal="center" vertical="center"/>
      <protection/>
    </xf>
    <xf numFmtId="0" fontId="11" fillId="0" borderId="15" xfId="108" applyFont="1" applyBorder="1" applyAlignment="1">
      <alignment horizontal="center" vertical="center"/>
      <protection/>
    </xf>
    <xf numFmtId="0" fontId="11" fillId="0" borderId="0" xfId="108" applyFont="1" applyAlignment="1">
      <alignment horizontal="center" vertical="center"/>
      <protection/>
    </xf>
    <xf numFmtId="0" fontId="12" fillId="0" borderId="16" xfId="92" applyFont="1" applyFill="1" applyBorder="1" applyAlignment="1">
      <alignment horizontal="left" wrapText="1"/>
      <protection/>
    </xf>
    <xf numFmtId="166" fontId="12" fillId="0" borderId="17" xfId="91" applyNumberFormat="1" applyFont="1" applyFill="1" applyBorder="1" applyAlignment="1">
      <alignment horizontal="right" wrapText="1"/>
      <protection/>
    </xf>
    <xf numFmtId="166" fontId="12" fillId="0" borderId="18" xfId="91" applyNumberFormat="1" applyFont="1" applyFill="1" applyBorder="1" applyAlignment="1">
      <alignment horizontal="right" wrapText="1"/>
      <protection/>
    </xf>
    <xf numFmtId="4" fontId="12" fillId="0" borderId="16" xfId="91" applyNumberFormat="1" applyFont="1" applyFill="1" applyBorder="1" applyAlignment="1">
      <alignment horizontal="right" wrapText="1"/>
      <protection/>
    </xf>
    <xf numFmtId="4" fontId="12" fillId="0" borderId="19" xfId="91" applyNumberFormat="1" applyFont="1" applyFill="1" applyBorder="1" applyAlignment="1">
      <alignment horizontal="right" wrapText="1"/>
      <protection/>
    </xf>
    <xf numFmtId="0" fontId="12" fillId="0" borderId="20" xfId="92" applyFont="1" applyFill="1" applyBorder="1" applyAlignment="1">
      <alignment horizontal="left" wrapText="1"/>
      <protection/>
    </xf>
    <xf numFmtId="0" fontId="12" fillId="0" borderId="21" xfId="104" applyFont="1" applyFill="1" applyBorder="1" applyAlignment="1">
      <alignment horizontal="left" wrapText="1"/>
      <protection/>
    </xf>
    <xf numFmtId="166" fontId="12" fillId="0" borderId="22" xfId="91" applyNumberFormat="1" applyFont="1" applyFill="1" applyBorder="1" applyAlignment="1">
      <alignment horizontal="right" wrapText="1"/>
      <protection/>
    </xf>
    <xf numFmtId="166" fontId="12" fillId="0" borderId="23" xfId="91" applyNumberFormat="1" applyFont="1" applyFill="1" applyBorder="1" applyAlignment="1">
      <alignment horizontal="right" wrapText="1"/>
      <protection/>
    </xf>
    <xf numFmtId="0" fontId="12" fillId="0" borderId="24" xfId="92" applyFont="1" applyFill="1" applyBorder="1" applyAlignment="1">
      <alignment horizontal="left" wrapText="1"/>
      <protection/>
    </xf>
    <xf numFmtId="166" fontId="12" fillId="0" borderId="25" xfId="91" applyNumberFormat="1" applyFont="1" applyFill="1" applyBorder="1" applyAlignment="1">
      <alignment horizontal="right" wrapText="1"/>
      <protection/>
    </xf>
    <xf numFmtId="166" fontId="12" fillId="0" borderId="26" xfId="91" applyNumberFormat="1" applyFont="1" applyFill="1" applyBorder="1" applyAlignment="1">
      <alignment horizontal="right" wrapText="1"/>
      <protection/>
    </xf>
    <xf numFmtId="4" fontId="12" fillId="0" borderId="27" xfId="91" applyNumberFormat="1" applyFont="1" applyFill="1" applyBorder="1" applyAlignment="1">
      <alignment horizontal="right" wrapText="1"/>
      <protection/>
    </xf>
    <xf numFmtId="4" fontId="12" fillId="0" borderId="28" xfId="91" applyNumberFormat="1" applyFont="1" applyFill="1" applyBorder="1" applyAlignment="1">
      <alignment horizontal="right" wrapText="1"/>
      <protection/>
    </xf>
    <xf numFmtId="166" fontId="13" fillId="0" borderId="13" xfId="91" applyNumberFormat="1" applyFont="1" applyFill="1" applyBorder="1" applyAlignment="1">
      <alignment horizontal="right" wrapText="1"/>
      <protection/>
    </xf>
    <xf numFmtId="4" fontId="13" fillId="0" borderId="12" xfId="91" applyNumberFormat="1" applyFont="1" applyFill="1" applyBorder="1" applyAlignment="1">
      <alignment horizontal="right" wrapText="1"/>
      <protection/>
    </xf>
    <xf numFmtId="4" fontId="13" fillId="0" borderId="13" xfId="91" applyNumberFormat="1" applyFont="1" applyFill="1" applyBorder="1" applyAlignment="1">
      <alignment horizontal="right" wrapText="1"/>
      <protection/>
    </xf>
    <xf numFmtId="0" fontId="10" fillId="0" borderId="0" xfId="108" applyFont="1">
      <alignment/>
      <protection/>
    </xf>
    <xf numFmtId="3" fontId="12" fillId="0" borderId="0" xfId="104" applyNumberFormat="1" applyFont="1" applyFill="1" applyBorder="1" applyAlignment="1">
      <alignment horizontal="right" wrapText="1"/>
      <protection/>
    </xf>
    <xf numFmtId="166" fontId="12" fillId="0" borderId="17" xfId="110" applyNumberFormat="1" applyFont="1" applyFill="1" applyBorder="1" applyAlignment="1">
      <alignment horizontal="right" wrapText="1"/>
      <protection/>
    </xf>
    <xf numFmtId="166" fontId="12" fillId="0" borderId="29" xfId="110" applyNumberFormat="1" applyFont="1" applyFill="1" applyBorder="1" applyAlignment="1">
      <alignment horizontal="right" wrapText="1"/>
      <protection/>
    </xf>
    <xf numFmtId="2" fontId="0" fillId="0" borderId="30" xfId="108" applyNumberFormat="1" applyFont="1" applyBorder="1">
      <alignment/>
      <protection/>
    </xf>
    <xf numFmtId="2" fontId="0" fillId="0" borderId="19" xfId="108" applyNumberFormat="1" applyFont="1" applyBorder="1">
      <alignment/>
      <protection/>
    </xf>
    <xf numFmtId="166" fontId="12" fillId="0" borderId="22" xfId="110" applyNumberFormat="1" applyFont="1" applyFill="1" applyBorder="1" applyAlignment="1">
      <alignment horizontal="right" wrapText="1"/>
      <protection/>
    </xf>
    <xf numFmtId="166" fontId="12" fillId="0" borderId="31" xfId="110" applyNumberFormat="1" applyFont="1" applyFill="1" applyBorder="1" applyAlignment="1">
      <alignment horizontal="right" wrapText="1"/>
      <protection/>
    </xf>
    <xf numFmtId="166" fontId="12" fillId="0" borderId="25" xfId="110" applyNumberFormat="1" applyFont="1" applyFill="1" applyBorder="1" applyAlignment="1">
      <alignment horizontal="right" wrapText="1"/>
      <protection/>
    </xf>
    <xf numFmtId="166" fontId="12" fillId="0" borderId="32" xfId="110" applyNumberFormat="1" applyFont="1" applyFill="1" applyBorder="1" applyAlignment="1">
      <alignment horizontal="right" wrapText="1"/>
      <protection/>
    </xf>
    <xf numFmtId="2" fontId="0" fillId="0" borderId="33" xfId="108" applyNumberFormat="1" applyFont="1" applyBorder="1">
      <alignment/>
      <protection/>
    </xf>
    <xf numFmtId="2" fontId="0" fillId="0" borderId="28" xfId="108" applyNumberFormat="1" applyFont="1" applyBorder="1">
      <alignment/>
      <protection/>
    </xf>
    <xf numFmtId="166" fontId="13" fillId="0" borderId="12" xfId="110" applyNumberFormat="1" applyFont="1" applyFill="1" applyBorder="1" applyAlignment="1">
      <alignment horizontal="right" wrapText="1"/>
      <protection/>
    </xf>
    <xf numFmtId="166" fontId="13" fillId="0" borderId="34" xfId="110" applyNumberFormat="1" applyFont="1" applyFill="1" applyBorder="1" applyAlignment="1">
      <alignment horizontal="right" wrapText="1"/>
      <protection/>
    </xf>
    <xf numFmtId="2" fontId="9" fillId="0" borderId="35" xfId="108" applyNumberFormat="1" applyFont="1" applyBorder="1">
      <alignment/>
      <protection/>
    </xf>
    <xf numFmtId="2" fontId="9" fillId="0" borderId="13" xfId="108" applyNumberFormat="1" applyFont="1" applyBorder="1">
      <alignment/>
      <protection/>
    </xf>
    <xf numFmtId="166" fontId="12" fillId="0" borderId="18" xfId="110" applyNumberFormat="1" applyFont="1" applyFill="1" applyBorder="1" applyAlignment="1">
      <alignment horizontal="right" wrapText="1"/>
      <protection/>
    </xf>
    <xf numFmtId="166" fontId="12" fillId="0" borderId="30" xfId="110" applyNumberFormat="1" applyFont="1" applyFill="1" applyBorder="1" applyAlignment="1">
      <alignment horizontal="right" wrapText="1"/>
      <protection/>
    </xf>
    <xf numFmtId="166" fontId="12" fillId="0" borderId="19" xfId="110" applyNumberFormat="1" applyFont="1" applyFill="1" applyBorder="1" applyAlignment="1">
      <alignment horizontal="right" wrapText="1"/>
      <protection/>
    </xf>
    <xf numFmtId="166" fontId="12" fillId="0" borderId="23" xfId="110" applyNumberFormat="1" applyFont="1" applyFill="1" applyBorder="1" applyAlignment="1">
      <alignment horizontal="right" wrapText="1"/>
      <protection/>
    </xf>
    <xf numFmtId="166" fontId="12" fillId="0" borderId="26" xfId="110" applyNumberFormat="1" applyFont="1" applyFill="1" applyBorder="1" applyAlignment="1">
      <alignment horizontal="right" wrapText="1"/>
      <protection/>
    </xf>
    <xf numFmtId="166" fontId="12" fillId="0" borderId="33" xfId="110" applyNumberFormat="1" applyFont="1" applyFill="1" applyBorder="1" applyAlignment="1">
      <alignment horizontal="right" wrapText="1"/>
      <protection/>
    </xf>
    <xf numFmtId="166" fontId="12" fillId="0" borderId="28" xfId="110" applyNumberFormat="1" applyFont="1" applyFill="1" applyBorder="1" applyAlignment="1">
      <alignment horizontal="right" wrapText="1"/>
      <protection/>
    </xf>
    <xf numFmtId="166" fontId="13" fillId="0" borderId="15" xfId="110" applyNumberFormat="1" applyFont="1" applyFill="1" applyBorder="1" applyAlignment="1">
      <alignment horizontal="right" wrapText="1"/>
      <protection/>
    </xf>
    <xf numFmtId="166" fontId="13" fillId="0" borderId="35" xfId="110" applyNumberFormat="1" applyFont="1" applyFill="1" applyBorder="1" applyAlignment="1">
      <alignment horizontal="right" wrapText="1"/>
      <protection/>
    </xf>
    <xf numFmtId="166" fontId="13" fillId="0" borderId="13" xfId="110" applyNumberFormat="1" applyFont="1" applyFill="1" applyBorder="1" applyAlignment="1">
      <alignment horizontal="right" wrapText="1"/>
      <protection/>
    </xf>
    <xf numFmtId="169" fontId="0" fillId="0" borderId="17" xfId="108" applyNumberFormat="1" applyFont="1" applyBorder="1">
      <alignment/>
      <protection/>
    </xf>
    <xf numFmtId="169" fontId="0" fillId="0" borderId="18" xfId="108" applyNumberFormat="1" applyFont="1" applyBorder="1">
      <alignment/>
      <protection/>
    </xf>
    <xf numFmtId="2" fontId="0" fillId="0" borderId="16" xfId="108" applyNumberFormat="1" applyFont="1" applyBorder="1">
      <alignment/>
      <protection/>
    </xf>
    <xf numFmtId="169" fontId="0" fillId="0" borderId="22" xfId="108" applyNumberFormat="1" applyFont="1" applyBorder="1">
      <alignment/>
      <protection/>
    </xf>
    <xf numFmtId="169" fontId="0" fillId="0" borderId="23" xfId="108" applyNumberFormat="1" applyFont="1" applyBorder="1">
      <alignment/>
      <protection/>
    </xf>
    <xf numFmtId="169" fontId="0" fillId="0" borderId="25" xfId="108" applyNumberFormat="1" applyFont="1" applyBorder="1">
      <alignment/>
      <protection/>
    </xf>
    <xf numFmtId="169" fontId="0" fillId="0" borderId="26" xfId="108" applyNumberFormat="1" applyFont="1" applyBorder="1">
      <alignment/>
      <protection/>
    </xf>
    <xf numFmtId="2" fontId="0" fillId="0" borderId="27" xfId="108" applyNumberFormat="1" applyFont="1" applyBorder="1">
      <alignment/>
      <protection/>
    </xf>
    <xf numFmtId="169" fontId="9" fillId="0" borderId="12" xfId="108" applyNumberFormat="1" applyFont="1" applyBorder="1">
      <alignment/>
      <protection/>
    </xf>
    <xf numFmtId="169" fontId="9" fillId="0" borderId="36" xfId="108" applyNumberFormat="1" applyFont="1" applyBorder="1">
      <alignment/>
      <protection/>
    </xf>
    <xf numFmtId="0" fontId="1" fillId="0" borderId="0" xfId="108">
      <alignment/>
      <protection/>
    </xf>
    <xf numFmtId="0" fontId="1" fillId="0" borderId="37" xfId="108" applyBorder="1">
      <alignment/>
      <protection/>
    </xf>
    <xf numFmtId="0" fontId="7" fillId="0" borderId="38" xfId="108" applyFont="1" applyBorder="1">
      <alignment/>
      <protection/>
    </xf>
    <xf numFmtId="0" fontId="7" fillId="0" borderId="39" xfId="108" applyFont="1" applyBorder="1">
      <alignment/>
      <protection/>
    </xf>
    <xf numFmtId="0" fontId="7" fillId="0" borderId="34" xfId="108" applyFont="1" applyBorder="1">
      <alignment/>
      <protection/>
    </xf>
    <xf numFmtId="0" fontId="6" fillId="0" borderId="12" xfId="108" applyFont="1" applyBorder="1" applyAlignment="1">
      <alignment horizontal="center" vertical="center"/>
      <protection/>
    </xf>
    <xf numFmtId="0" fontId="6" fillId="0" borderId="13" xfId="108" applyFont="1" applyBorder="1" applyAlignment="1">
      <alignment horizontal="center" vertical="center"/>
      <protection/>
    </xf>
    <xf numFmtId="0" fontId="6" fillId="0" borderId="36" xfId="108" applyFont="1" applyBorder="1" applyAlignment="1">
      <alignment horizontal="center" vertical="center"/>
      <protection/>
    </xf>
    <xf numFmtId="0" fontId="6" fillId="0" borderId="14" xfId="108" applyFont="1" applyBorder="1" applyAlignment="1">
      <alignment horizontal="center" vertical="center"/>
      <protection/>
    </xf>
    <xf numFmtId="0" fontId="12" fillId="0" borderId="40" xfId="88" applyFont="1" applyFill="1" applyBorder="1" applyAlignment="1">
      <alignment horizontal="left" wrapText="1"/>
      <protection/>
    </xf>
    <xf numFmtId="0" fontId="12" fillId="0" borderId="41" xfId="104" applyFont="1" applyFill="1" applyBorder="1" applyAlignment="1">
      <alignment horizontal="left" wrapText="1"/>
      <protection/>
    </xf>
    <xf numFmtId="166" fontId="1" fillId="0" borderId="42" xfId="108" applyNumberFormat="1" applyFont="1" applyBorder="1">
      <alignment/>
      <protection/>
    </xf>
    <xf numFmtId="165" fontId="1" fillId="0" borderId="42" xfId="108" applyNumberFormat="1" applyBorder="1">
      <alignment/>
      <protection/>
    </xf>
    <xf numFmtId="0" fontId="12" fillId="0" borderId="20" xfId="88" applyFont="1" applyFill="1" applyBorder="1" applyAlignment="1">
      <alignment horizontal="left" wrapText="1"/>
      <protection/>
    </xf>
    <xf numFmtId="166" fontId="1" fillId="0" borderId="43" xfId="108" applyNumberFormat="1" applyFont="1" applyBorder="1">
      <alignment/>
      <protection/>
    </xf>
    <xf numFmtId="165" fontId="1" fillId="0" borderId="43" xfId="108" applyNumberFormat="1" applyBorder="1">
      <alignment/>
      <protection/>
    </xf>
    <xf numFmtId="165" fontId="1" fillId="0" borderId="21" xfId="108" applyNumberFormat="1" applyBorder="1">
      <alignment/>
      <protection/>
    </xf>
    <xf numFmtId="0" fontId="12" fillId="0" borderId="44" xfId="88" applyFont="1" applyFill="1" applyBorder="1" applyAlignment="1">
      <alignment horizontal="left" wrapText="1"/>
      <protection/>
    </xf>
    <xf numFmtId="0" fontId="12" fillId="0" borderId="45" xfId="104" applyFont="1" applyFill="1" applyBorder="1" applyAlignment="1">
      <alignment horizontal="left" wrapText="1"/>
      <protection/>
    </xf>
    <xf numFmtId="166" fontId="1" fillId="0" borderId="46" xfId="108" applyNumberFormat="1" applyFont="1" applyBorder="1">
      <alignment/>
      <protection/>
    </xf>
    <xf numFmtId="165" fontId="1" fillId="0" borderId="46" xfId="108" applyNumberFormat="1" applyBorder="1">
      <alignment/>
      <protection/>
    </xf>
    <xf numFmtId="165" fontId="1" fillId="0" borderId="45" xfId="108" applyNumberFormat="1" applyBorder="1">
      <alignment/>
      <protection/>
    </xf>
    <xf numFmtId="3" fontId="7" fillId="0" borderId="0" xfId="108" applyNumberFormat="1" applyFont="1">
      <alignment/>
      <protection/>
    </xf>
    <xf numFmtId="0" fontId="12" fillId="0" borderId="18" xfId="104" applyFont="1" applyFill="1" applyBorder="1" applyAlignment="1">
      <alignment horizontal="left" wrapText="1"/>
      <protection/>
    </xf>
    <xf numFmtId="0" fontId="12" fillId="0" borderId="23" xfId="104" applyFont="1" applyFill="1" applyBorder="1" applyAlignment="1">
      <alignment horizontal="left" wrapText="1"/>
      <protection/>
    </xf>
    <xf numFmtId="0" fontId="12" fillId="0" borderId="26" xfId="104" applyFont="1" applyFill="1" applyBorder="1" applyAlignment="1">
      <alignment horizontal="left" wrapText="1"/>
      <protection/>
    </xf>
    <xf numFmtId="0" fontId="11" fillId="0" borderId="47" xfId="108" applyFont="1" applyBorder="1" applyAlignment="1">
      <alignment horizontal="center" vertical="center"/>
      <protection/>
    </xf>
    <xf numFmtId="3" fontId="7" fillId="0" borderId="48" xfId="108" applyNumberFormat="1" applyFont="1" applyBorder="1" applyAlignment="1">
      <alignment horizontal="right"/>
      <protection/>
    </xf>
    <xf numFmtId="3" fontId="4" fillId="0" borderId="49" xfId="93" applyNumberFormat="1" applyFont="1" applyFill="1" applyBorder="1" applyAlignment="1">
      <alignment horizontal="right" wrapText="1"/>
      <protection/>
    </xf>
    <xf numFmtId="3" fontId="4" fillId="0" borderId="50" xfId="93" applyNumberFormat="1" applyFont="1" applyFill="1" applyBorder="1" applyAlignment="1">
      <alignment horizontal="right" wrapText="1"/>
      <protection/>
    </xf>
    <xf numFmtId="3" fontId="4" fillId="0" borderId="51" xfId="93" applyNumberFormat="1" applyFont="1" applyFill="1" applyBorder="1" applyAlignment="1">
      <alignment horizontal="right" wrapText="1"/>
      <protection/>
    </xf>
    <xf numFmtId="0" fontId="11" fillId="0" borderId="52" xfId="108" applyFont="1" applyBorder="1" applyAlignment="1">
      <alignment horizontal="center" vertical="center"/>
      <protection/>
    </xf>
    <xf numFmtId="4" fontId="4" fillId="0" borderId="53" xfId="89" applyNumberFormat="1" applyFont="1" applyFill="1" applyBorder="1" applyAlignment="1">
      <alignment horizontal="right" wrapText="1"/>
      <protection/>
    </xf>
    <xf numFmtId="4" fontId="4" fillId="0" borderId="54" xfId="89" applyNumberFormat="1" applyFont="1" applyFill="1" applyBorder="1" applyAlignment="1">
      <alignment horizontal="right" wrapText="1"/>
      <protection/>
    </xf>
    <xf numFmtId="4" fontId="4" fillId="0" borderId="55" xfId="89" applyNumberFormat="1" applyFont="1" applyFill="1" applyBorder="1" applyAlignment="1">
      <alignment horizontal="right" wrapText="1"/>
      <protection/>
    </xf>
    <xf numFmtId="4" fontId="9" fillId="0" borderId="56" xfId="108" applyNumberFormat="1" applyFont="1" applyBorder="1">
      <alignment/>
      <protection/>
    </xf>
    <xf numFmtId="4" fontId="4" fillId="0" borderId="49" xfId="89" applyNumberFormat="1" applyFont="1" applyFill="1" applyBorder="1" applyAlignment="1">
      <alignment horizontal="right" wrapText="1"/>
      <protection/>
    </xf>
    <xf numFmtId="4" fontId="4" fillId="0" borderId="50" xfId="89" applyNumberFormat="1" applyFont="1" applyFill="1" applyBorder="1" applyAlignment="1">
      <alignment horizontal="right" wrapText="1"/>
      <protection/>
    </xf>
    <xf numFmtId="4" fontId="4" fillId="0" borderId="51" xfId="89" applyNumberFormat="1" applyFont="1" applyFill="1" applyBorder="1" applyAlignment="1">
      <alignment horizontal="right" wrapText="1"/>
      <protection/>
    </xf>
    <xf numFmtId="0" fontId="11" fillId="0" borderId="57" xfId="108" applyFont="1" applyBorder="1" applyAlignment="1">
      <alignment horizontal="center" vertical="center"/>
      <protection/>
    </xf>
    <xf numFmtId="4" fontId="9" fillId="0" borderId="37" xfId="108" applyNumberFormat="1" applyFont="1" applyBorder="1">
      <alignment/>
      <protection/>
    </xf>
    <xf numFmtId="164" fontId="0" fillId="0" borderId="58" xfId="108" applyNumberFormat="1" applyFont="1" applyBorder="1">
      <alignment/>
      <protection/>
    </xf>
    <xf numFmtId="164" fontId="0" fillId="0" borderId="59" xfId="108" applyNumberFormat="1" applyFont="1" applyBorder="1">
      <alignment/>
      <protection/>
    </xf>
    <xf numFmtId="0" fontId="11" fillId="0" borderId="60" xfId="108" applyFont="1" applyBorder="1" applyAlignment="1">
      <alignment horizontal="center" vertical="center"/>
      <protection/>
    </xf>
    <xf numFmtId="4" fontId="4" fillId="0" borderId="40" xfId="89" applyNumberFormat="1" applyFont="1" applyFill="1" applyBorder="1" applyAlignment="1">
      <alignment horizontal="right" wrapText="1"/>
      <protection/>
    </xf>
    <xf numFmtId="4" fontId="4" fillId="0" borderId="41" xfId="89" applyNumberFormat="1" applyFont="1" applyFill="1" applyBorder="1" applyAlignment="1">
      <alignment horizontal="right" wrapText="1"/>
      <protection/>
    </xf>
    <xf numFmtId="4" fontId="4" fillId="0" borderId="20" xfId="89" applyNumberFormat="1" applyFont="1" applyFill="1" applyBorder="1" applyAlignment="1">
      <alignment horizontal="right" wrapText="1"/>
      <protection/>
    </xf>
    <xf numFmtId="4" fontId="4" fillId="0" borderId="21" xfId="89" applyNumberFormat="1" applyFont="1" applyFill="1" applyBorder="1" applyAlignment="1">
      <alignment horizontal="right" wrapText="1"/>
      <protection/>
    </xf>
    <xf numFmtId="4" fontId="4" fillId="0" borderId="44" xfId="89" applyNumberFormat="1" applyFont="1" applyFill="1" applyBorder="1" applyAlignment="1">
      <alignment horizontal="right" wrapText="1"/>
      <protection/>
    </xf>
    <xf numFmtId="4" fontId="4" fillId="0" borderId="45" xfId="89" applyNumberFormat="1" applyFont="1" applyFill="1" applyBorder="1" applyAlignment="1">
      <alignment horizontal="right" wrapText="1"/>
      <protection/>
    </xf>
    <xf numFmtId="166" fontId="13" fillId="0" borderId="14" xfId="91" applyNumberFormat="1" applyFont="1" applyFill="1" applyBorder="1" applyAlignment="1">
      <alignment horizontal="right" wrapText="1"/>
      <protection/>
    </xf>
    <xf numFmtId="4" fontId="9" fillId="0" borderId="61" xfId="108" applyNumberFormat="1" applyFont="1" applyBorder="1">
      <alignment/>
      <protection/>
    </xf>
    <xf numFmtId="0" fontId="11" fillId="0" borderId="62" xfId="108" applyFont="1" applyBorder="1" applyAlignment="1">
      <alignment horizontal="center" vertical="center"/>
      <protection/>
    </xf>
    <xf numFmtId="0" fontId="11" fillId="0" borderId="63" xfId="108" applyFont="1" applyBorder="1" applyAlignment="1">
      <alignment horizontal="center" vertical="center"/>
      <protection/>
    </xf>
    <xf numFmtId="3" fontId="7" fillId="0" borderId="48" xfId="108" applyNumberFormat="1" applyFont="1" applyBorder="1" applyAlignment="1">
      <alignment horizontal="center"/>
      <protection/>
    </xf>
    <xf numFmtId="0" fontId="4" fillId="0" borderId="43" xfId="101" applyFont="1" applyFill="1" applyBorder="1" applyAlignment="1">
      <alignment wrapText="1"/>
      <protection/>
    </xf>
    <xf numFmtId="0" fontId="4" fillId="0" borderId="40" xfId="101" applyFont="1" applyFill="1" applyBorder="1" applyAlignment="1">
      <alignment wrapText="1"/>
      <protection/>
    </xf>
    <xf numFmtId="0" fontId="4" fillId="0" borderId="42" xfId="101" applyFont="1" applyFill="1" applyBorder="1" applyAlignment="1">
      <alignment wrapText="1"/>
      <protection/>
    </xf>
    <xf numFmtId="0" fontId="4" fillId="0" borderId="20" xfId="101" applyFont="1" applyFill="1" applyBorder="1" applyAlignment="1">
      <alignment wrapText="1"/>
      <protection/>
    </xf>
    <xf numFmtId="0" fontId="4" fillId="0" borderId="44" xfId="101" applyFont="1" applyFill="1" applyBorder="1" applyAlignment="1">
      <alignment wrapText="1"/>
      <protection/>
    </xf>
    <xf numFmtId="0" fontId="4" fillId="0" borderId="46" xfId="101" applyFont="1" applyFill="1" applyBorder="1" applyAlignment="1">
      <alignment wrapText="1"/>
      <protection/>
    </xf>
    <xf numFmtId="0" fontId="4" fillId="0" borderId="41" xfId="101" applyFont="1" applyFill="1" applyBorder="1" applyAlignment="1">
      <alignment wrapText="1"/>
      <protection/>
    </xf>
    <xf numFmtId="0" fontId="4" fillId="0" borderId="21" xfId="101" applyFont="1" applyFill="1" applyBorder="1" applyAlignment="1">
      <alignment wrapText="1"/>
      <protection/>
    </xf>
    <xf numFmtId="0" fontId="4" fillId="0" borderId="45" xfId="101" applyFont="1" applyFill="1" applyBorder="1" applyAlignment="1">
      <alignment wrapText="1"/>
      <protection/>
    </xf>
    <xf numFmtId="3" fontId="4" fillId="0" borderId="58" xfId="101" applyNumberFormat="1" applyFont="1" applyFill="1" applyBorder="1" applyAlignment="1">
      <alignment horizontal="right" wrapText="1"/>
      <protection/>
    </xf>
    <xf numFmtId="3" fontId="4" fillId="0" borderId="59" xfId="101" applyNumberFormat="1" applyFont="1" applyFill="1" applyBorder="1" applyAlignment="1">
      <alignment horizontal="right" wrapText="1"/>
      <protection/>
    </xf>
    <xf numFmtId="3" fontId="4" fillId="0" borderId="64" xfId="101" applyNumberFormat="1" applyFont="1" applyFill="1" applyBorder="1" applyAlignment="1">
      <alignment horizontal="right" wrapText="1"/>
      <protection/>
    </xf>
    <xf numFmtId="4" fontId="4" fillId="0" borderId="53" xfId="101" applyNumberFormat="1" applyFont="1" applyFill="1" applyBorder="1" applyAlignment="1">
      <alignment horizontal="right" wrapText="1"/>
      <protection/>
    </xf>
    <xf numFmtId="4" fontId="4" fillId="0" borderId="54" xfId="101" applyNumberFormat="1" applyFont="1" applyFill="1" applyBorder="1" applyAlignment="1">
      <alignment horizontal="right" wrapText="1"/>
      <protection/>
    </xf>
    <xf numFmtId="4" fontId="4" fillId="0" borderId="55" xfId="101" applyNumberFormat="1" applyFont="1" applyFill="1" applyBorder="1" applyAlignment="1">
      <alignment horizontal="right" wrapText="1"/>
      <protection/>
    </xf>
    <xf numFmtId="4" fontId="4" fillId="0" borderId="49" xfId="101" applyNumberFormat="1" applyFont="1" applyFill="1" applyBorder="1" applyAlignment="1">
      <alignment horizontal="right" wrapText="1"/>
      <protection/>
    </xf>
    <xf numFmtId="4" fontId="4" fillId="0" borderId="50" xfId="101" applyNumberFormat="1" applyFont="1" applyFill="1" applyBorder="1" applyAlignment="1">
      <alignment horizontal="right" wrapText="1"/>
      <protection/>
    </xf>
    <xf numFmtId="4" fontId="4" fillId="0" borderId="51" xfId="101" applyNumberFormat="1" applyFont="1" applyFill="1" applyBorder="1" applyAlignment="1">
      <alignment horizontal="right" wrapText="1"/>
      <protection/>
    </xf>
    <xf numFmtId="0" fontId="11" fillId="0" borderId="38" xfId="108" applyFont="1" applyBorder="1" applyAlignment="1">
      <alignment horizontal="center" vertical="center"/>
      <protection/>
    </xf>
    <xf numFmtId="3" fontId="0" fillId="0" borderId="65" xfId="108" applyNumberFormat="1" applyFont="1" applyBorder="1">
      <alignment/>
      <protection/>
    </xf>
    <xf numFmtId="3" fontId="0" fillId="0" borderId="59" xfId="108" applyNumberFormat="1" applyFont="1" applyBorder="1">
      <alignment/>
      <protection/>
    </xf>
    <xf numFmtId="3" fontId="0" fillId="0" borderId="66" xfId="108" applyNumberFormat="1" applyFont="1" applyBorder="1">
      <alignment/>
      <protection/>
    </xf>
    <xf numFmtId="4" fontId="4" fillId="0" borderId="40" xfId="101" applyNumberFormat="1" applyFont="1" applyFill="1" applyBorder="1" applyAlignment="1">
      <alignment horizontal="right" wrapText="1"/>
      <protection/>
    </xf>
    <xf numFmtId="4" fontId="4" fillId="0" borderId="41" xfId="101" applyNumberFormat="1" applyFont="1" applyFill="1" applyBorder="1" applyAlignment="1">
      <alignment horizontal="right" wrapText="1"/>
      <protection/>
    </xf>
    <xf numFmtId="4" fontId="4" fillId="0" borderId="20" xfId="101" applyNumberFormat="1" applyFont="1" applyFill="1" applyBorder="1" applyAlignment="1">
      <alignment horizontal="right" wrapText="1"/>
      <protection/>
    </xf>
    <xf numFmtId="4" fontId="4" fillId="0" borderId="21" xfId="101" applyNumberFormat="1" applyFont="1" applyFill="1" applyBorder="1" applyAlignment="1">
      <alignment horizontal="right" wrapText="1"/>
      <protection/>
    </xf>
    <xf numFmtId="4" fontId="4" fillId="0" borderId="44" xfId="101" applyNumberFormat="1" applyFont="1" applyFill="1" applyBorder="1" applyAlignment="1">
      <alignment horizontal="right" wrapText="1"/>
      <protection/>
    </xf>
    <xf numFmtId="4" fontId="4" fillId="0" borderId="45" xfId="101" applyNumberFormat="1" applyFont="1" applyFill="1" applyBorder="1" applyAlignment="1">
      <alignment horizontal="right" wrapText="1"/>
      <protection/>
    </xf>
    <xf numFmtId="166" fontId="13" fillId="0" borderId="14" xfId="110" applyNumberFormat="1" applyFont="1" applyFill="1" applyBorder="1" applyAlignment="1">
      <alignment horizontal="right" wrapText="1"/>
      <protection/>
    </xf>
    <xf numFmtId="4" fontId="7" fillId="0" borderId="56" xfId="108" applyNumberFormat="1" applyFont="1" applyBorder="1">
      <alignment/>
      <protection/>
    </xf>
    <xf numFmtId="4" fontId="7" fillId="0" borderId="37" xfId="108" applyNumberFormat="1" applyFont="1" applyBorder="1">
      <alignment/>
      <protection/>
    </xf>
    <xf numFmtId="4" fontId="9" fillId="0" borderId="11" xfId="108" applyNumberFormat="1" applyFont="1" applyBorder="1">
      <alignment/>
      <protection/>
    </xf>
    <xf numFmtId="4" fontId="7" fillId="0" borderId="61" xfId="108" applyNumberFormat="1" applyFont="1" applyBorder="1">
      <alignment/>
      <protection/>
    </xf>
    <xf numFmtId="164" fontId="9" fillId="0" borderId="35" xfId="108" applyNumberFormat="1" applyFont="1" applyBorder="1">
      <alignment/>
      <protection/>
    </xf>
    <xf numFmtId="3" fontId="9" fillId="0" borderId="48" xfId="108" applyNumberFormat="1" applyFont="1" applyBorder="1" applyAlignment="1">
      <alignment horizontal="center"/>
      <protection/>
    </xf>
    <xf numFmtId="0" fontId="4" fillId="0" borderId="43" xfId="90" applyFont="1" applyFill="1" applyBorder="1" applyAlignment="1">
      <alignment wrapText="1"/>
      <protection/>
    </xf>
    <xf numFmtId="0" fontId="4" fillId="0" borderId="40" xfId="90" applyFont="1" applyFill="1" applyBorder="1" applyAlignment="1">
      <alignment wrapText="1"/>
      <protection/>
    </xf>
    <xf numFmtId="0" fontId="4" fillId="0" borderId="42" xfId="90" applyFont="1" applyFill="1" applyBorder="1" applyAlignment="1">
      <alignment wrapText="1"/>
      <protection/>
    </xf>
    <xf numFmtId="0" fontId="4" fillId="0" borderId="20" xfId="90" applyFont="1" applyFill="1" applyBorder="1" applyAlignment="1">
      <alignment wrapText="1"/>
      <protection/>
    </xf>
    <xf numFmtId="0" fontId="4" fillId="0" borderId="44" xfId="90" applyFont="1" applyFill="1" applyBorder="1" applyAlignment="1">
      <alignment wrapText="1"/>
      <protection/>
    </xf>
    <xf numFmtId="0" fontId="4" fillId="0" borderId="46" xfId="90" applyFont="1" applyFill="1" applyBorder="1" applyAlignment="1">
      <alignment wrapText="1"/>
      <protection/>
    </xf>
    <xf numFmtId="0" fontId="4" fillId="0" borderId="67" xfId="90" applyFont="1" applyFill="1" applyBorder="1" applyAlignment="1">
      <alignment wrapText="1"/>
      <protection/>
    </xf>
    <xf numFmtId="0" fontId="4" fillId="0" borderId="23" xfId="90" applyFont="1" applyFill="1" applyBorder="1" applyAlignment="1">
      <alignment wrapText="1"/>
      <protection/>
    </xf>
    <xf numFmtId="0" fontId="4" fillId="0" borderId="68" xfId="90" applyFont="1" applyFill="1" applyBorder="1" applyAlignment="1">
      <alignment wrapText="1"/>
      <protection/>
    </xf>
    <xf numFmtId="3" fontId="4" fillId="0" borderId="49" xfId="97" applyNumberFormat="1" applyFont="1" applyFill="1" applyBorder="1" applyAlignment="1">
      <alignment horizontal="right" wrapText="1"/>
      <protection/>
    </xf>
    <xf numFmtId="3" fontId="4" fillId="0" borderId="50" xfId="97" applyNumberFormat="1" applyFont="1" applyFill="1" applyBorder="1" applyAlignment="1">
      <alignment horizontal="right" wrapText="1"/>
      <protection/>
    </xf>
    <xf numFmtId="3" fontId="4" fillId="0" borderId="51" xfId="97" applyNumberFormat="1" applyFont="1" applyFill="1" applyBorder="1" applyAlignment="1">
      <alignment horizontal="right" wrapText="1"/>
      <protection/>
    </xf>
    <xf numFmtId="4" fontId="4" fillId="0" borderId="53" xfId="90" applyNumberFormat="1" applyFont="1" applyFill="1" applyBorder="1" applyAlignment="1">
      <alignment horizontal="right" wrapText="1"/>
      <protection/>
    </xf>
    <xf numFmtId="4" fontId="4" fillId="0" borderId="54" xfId="90" applyNumberFormat="1" applyFont="1" applyFill="1" applyBorder="1" applyAlignment="1">
      <alignment horizontal="right" wrapText="1"/>
      <protection/>
    </xf>
    <xf numFmtId="4" fontId="4" fillId="0" borderId="55" xfId="90" applyNumberFormat="1" applyFont="1" applyFill="1" applyBorder="1" applyAlignment="1">
      <alignment horizontal="right" wrapText="1"/>
      <protection/>
    </xf>
    <xf numFmtId="4" fontId="4" fillId="0" borderId="49" xfId="90" applyNumberFormat="1" applyFont="1" applyFill="1" applyBorder="1" applyAlignment="1">
      <alignment horizontal="right" wrapText="1"/>
      <protection/>
    </xf>
    <xf numFmtId="4" fontId="4" fillId="0" borderId="50" xfId="90" applyNumberFormat="1" applyFont="1" applyFill="1" applyBorder="1" applyAlignment="1">
      <alignment horizontal="right" wrapText="1"/>
      <protection/>
    </xf>
    <xf numFmtId="4" fontId="4" fillId="0" borderId="51" xfId="90" applyNumberFormat="1" applyFont="1" applyFill="1" applyBorder="1" applyAlignment="1">
      <alignment horizontal="right" wrapText="1"/>
      <protection/>
    </xf>
    <xf numFmtId="164" fontId="0" fillId="0" borderId="65" xfId="108" applyNumberFormat="1" applyFont="1" applyBorder="1">
      <alignment/>
      <protection/>
    </xf>
    <xf numFmtId="4" fontId="4" fillId="0" borderId="40" xfId="90" applyNumberFormat="1" applyFont="1" applyFill="1" applyBorder="1" applyAlignment="1">
      <alignment horizontal="right" wrapText="1"/>
      <protection/>
    </xf>
    <xf numFmtId="4" fontId="4" fillId="0" borderId="41" xfId="90" applyNumberFormat="1" applyFont="1" applyFill="1" applyBorder="1" applyAlignment="1">
      <alignment horizontal="right" wrapText="1"/>
      <protection/>
    </xf>
    <xf numFmtId="4" fontId="4" fillId="0" borderId="20" xfId="90" applyNumberFormat="1" applyFont="1" applyFill="1" applyBorder="1" applyAlignment="1">
      <alignment horizontal="right" wrapText="1"/>
      <protection/>
    </xf>
    <xf numFmtId="4" fontId="4" fillId="0" borderId="21" xfId="90" applyNumberFormat="1" applyFont="1" applyFill="1" applyBorder="1" applyAlignment="1">
      <alignment horizontal="right" wrapText="1"/>
      <protection/>
    </xf>
    <xf numFmtId="4" fontId="4" fillId="0" borderId="44" xfId="90" applyNumberFormat="1" applyFont="1" applyFill="1" applyBorder="1" applyAlignment="1">
      <alignment horizontal="right" wrapText="1"/>
      <protection/>
    </xf>
    <xf numFmtId="4" fontId="4" fillId="0" borderId="45" xfId="90" applyNumberFormat="1" applyFont="1" applyFill="1" applyBorder="1" applyAlignment="1">
      <alignment horizontal="right" wrapText="1"/>
      <protection/>
    </xf>
    <xf numFmtId="4" fontId="7" fillId="0" borderId="56" xfId="108" applyNumberFormat="1" applyFont="1" applyBorder="1">
      <alignment/>
      <protection/>
    </xf>
    <xf numFmtId="4" fontId="7" fillId="0" borderId="37" xfId="108" applyNumberFormat="1" applyFont="1" applyBorder="1">
      <alignment/>
      <protection/>
    </xf>
    <xf numFmtId="4" fontId="7" fillId="0" borderId="11" xfId="108" applyNumberFormat="1" applyFont="1" applyBorder="1">
      <alignment/>
      <protection/>
    </xf>
    <xf numFmtId="4" fontId="7" fillId="0" borderId="61" xfId="108" applyNumberFormat="1" applyFont="1" applyBorder="1">
      <alignment/>
      <protection/>
    </xf>
    <xf numFmtId="3" fontId="9" fillId="0" borderId="48" xfId="108" applyNumberFormat="1" applyFont="1" applyBorder="1" applyAlignment="1">
      <alignment horizontal="center"/>
      <protection/>
    </xf>
    <xf numFmtId="0" fontId="11" fillId="0" borderId="10" xfId="108" applyFont="1" applyBorder="1" applyAlignment="1">
      <alignment horizontal="center" vertical="center"/>
      <protection/>
    </xf>
    <xf numFmtId="4" fontId="9" fillId="0" borderId="69" xfId="108" applyNumberFormat="1" applyFont="1" applyBorder="1" applyAlignment="1">
      <alignment horizontal="center"/>
      <protection/>
    </xf>
    <xf numFmtId="4" fontId="9" fillId="0" borderId="37" xfId="108" applyNumberFormat="1" applyFont="1" applyBorder="1" applyAlignment="1">
      <alignment horizontal="center"/>
      <protection/>
    </xf>
    <xf numFmtId="4" fontId="9" fillId="0" borderId="11" xfId="108" applyNumberFormat="1" applyFont="1" applyBorder="1" applyAlignment="1">
      <alignment horizontal="center"/>
      <protection/>
    </xf>
    <xf numFmtId="166" fontId="7" fillId="0" borderId="57" xfId="108" applyNumberFormat="1" applyFont="1" applyBorder="1">
      <alignment/>
      <protection/>
    </xf>
    <xf numFmtId="166" fontId="7" fillId="0" borderId="60" xfId="108" applyNumberFormat="1" applyFont="1" applyBorder="1">
      <alignment/>
      <protection/>
    </xf>
    <xf numFmtId="165" fontId="7" fillId="0" borderId="60" xfId="108" applyNumberFormat="1" applyFont="1" applyBorder="1">
      <alignment/>
      <protection/>
    </xf>
    <xf numFmtId="165" fontId="7" fillId="0" borderId="52" xfId="108" applyNumberFormat="1" applyFont="1" applyBorder="1">
      <alignment/>
      <protection/>
    </xf>
    <xf numFmtId="4" fontId="4" fillId="0" borderId="49" xfId="107" applyNumberFormat="1" applyFont="1" applyFill="1" applyBorder="1" applyAlignment="1">
      <alignment horizontal="right" wrapText="1"/>
      <protection/>
    </xf>
    <xf numFmtId="4" fontId="4" fillId="0" borderId="50" xfId="107" applyNumberFormat="1" applyFont="1" applyFill="1" applyBorder="1" applyAlignment="1">
      <alignment horizontal="right" wrapText="1"/>
      <protection/>
    </xf>
    <xf numFmtId="4" fontId="4" fillId="0" borderId="51" xfId="107" applyNumberFormat="1" applyFont="1" applyFill="1" applyBorder="1" applyAlignment="1">
      <alignment horizontal="right" wrapText="1"/>
      <protection/>
    </xf>
    <xf numFmtId="166" fontId="1" fillId="0" borderId="40" xfId="108" applyNumberFormat="1" applyFont="1" applyBorder="1">
      <alignment/>
      <protection/>
    </xf>
    <xf numFmtId="166" fontId="1" fillId="0" borderId="20" xfId="108" applyNumberFormat="1" applyFont="1" applyBorder="1">
      <alignment/>
      <protection/>
    </xf>
    <xf numFmtId="166" fontId="1" fillId="0" borderId="44" xfId="108" applyNumberFormat="1" applyFont="1" applyBorder="1">
      <alignment/>
      <protection/>
    </xf>
    <xf numFmtId="4" fontId="12" fillId="0" borderId="20" xfId="88" applyNumberFormat="1" applyFont="1" applyFill="1" applyBorder="1" applyAlignment="1">
      <alignment horizontal="right" wrapText="1"/>
      <protection/>
    </xf>
    <xf numFmtId="4" fontId="12" fillId="0" borderId="44" xfId="88" applyNumberFormat="1" applyFont="1" applyFill="1" applyBorder="1" applyAlignment="1">
      <alignment horizontal="right" wrapText="1"/>
      <protection/>
    </xf>
    <xf numFmtId="4" fontId="12" fillId="0" borderId="40" xfId="88" applyNumberFormat="1" applyFont="1" applyFill="1" applyBorder="1" applyAlignment="1">
      <alignment horizontal="right" wrapText="1"/>
      <protection/>
    </xf>
    <xf numFmtId="0" fontId="8" fillId="0" borderId="10" xfId="108" applyFont="1" applyBorder="1">
      <alignment/>
      <protection/>
    </xf>
    <xf numFmtId="0" fontId="9" fillId="0" borderId="11" xfId="108" applyFont="1" applyBorder="1" applyAlignment="1">
      <alignment horizontal="center" vertical="center" wrapText="1"/>
      <protection/>
    </xf>
    <xf numFmtId="0" fontId="4" fillId="0" borderId="16" xfId="104" applyFont="1" applyFill="1" applyBorder="1" applyAlignment="1">
      <alignment horizontal="left" wrapText="1"/>
      <protection/>
    </xf>
    <xf numFmtId="0" fontId="4" fillId="0" borderId="18" xfId="104" applyFont="1" applyFill="1" applyBorder="1" applyAlignment="1">
      <alignment horizontal="left" wrapText="1"/>
      <protection/>
    </xf>
    <xf numFmtId="3" fontId="4" fillId="0" borderId="49" xfId="107" applyNumberFormat="1" applyFont="1" applyFill="1" applyBorder="1" applyAlignment="1">
      <alignment horizontal="right" wrapText="1"/>
      <protection/>
    </xf>
    <xf numFmtId="4" fontId="4" fillId="0" borderId="53" xfId="107" applyNumberFormat="1" applyFont="1" applyFill="1" applyBorder="1" applyAlignment="1">
      <alignment horizontal="right" wrapText="1"/>
      <protection/>
    </xf>
    <xf numFmtId="4" fontId="4" fillId="0" borderId="70" xfId="107" applyNumberFormat="1" applyFont="1" applyFill="1" applyBorder="1" applyAlignment="1">
      <alignment horizontal="right" wrapText="1"/>
      <protection/>
    </xf>
    <xf numFmtId="4" fontId="4" fillId="0" borderId="40" xfId="107" applyNumberFormat="1" applyFont="1" applyFill="1" applyBorder="1" applyAlignment="1">
      <alignment horizontal="right" wrapText="1"/>
      <protection/>
    </xf>
    <xf numFmtId="4" fontId="4" fillId="0" borderId="41" xfId="107" applyNumberFormat="1" applyFont="1" applyFill="1" applyBorder="1" applyAlignment="1">
      <alignment horizontal="right" wrapText="1"/>
      <protection/>
    </xf>
    <xf numFmtId="0" fontId="4" fillId="0" borderId="20" xfId="104" applyFont="1" applyFill="1" applyBorder="1" applyAlignment="1">
      <alignment horizontal="left" wrapText="1"/>
      <protection/>
    </xf>
    <xf numFmtId="0" fontId="4" fillId="0" borderId="23" xfId="104" applyFont="1" applyFill="1" applyBorder="1" applyAlignment="1">
      <alignment horizontal="left" wrapText="1"/>
      <protection/>
    </xf>
    <xf numFmtId="3" fontId="4" fillId="0" borderId="50" xfId="107" applyNumberFormat="1" applyFont="1" applyFill="1" applyBorder="1" applyAlignment="1">
      <alignment horizontal="right" wrapText="1"/>
      <protection/>
    </xf>
    <xf numFmtId="4" fontId="4" fillId="0" borderId="54" xfId="107" applyNumberFormat="1" applyFont="1" applyFill="1" applyBorder="1" applyAlignment="1">
      <alignment horizontal="right" wrapText="1"/>
      <protection/>
    </xf>
    <xf numFmtId="4" fontId="4" fillId="0" borderId="31" xfId="107" applyNumberFormat="1" applyFont="1" applyFill="1" applyBorder="1" applyAlignment="1">
      <alignment horizontal="right" wrapText="1"/>
      <protection/>
    </xf>
    <xf numFmtId="4" fontId="4" fillId="0" borderId="20" xfId="107" applyNumberFormat="1" applyFont="1" applyFill="1" applyBorder="1" applyAlignment="1">
      <alignment horizontal="right" wrapText="1"/>
      <protection/>
    </xf>
    <xf numFmtId="4" fontId="4" fillId="0" borderId="21" xfId="107" applyNumberFormat="1" applyFont="1" applyFill="1" applyBorder="1" applyAlignment="1">
      <alignment horizontal="right" wrapText="1"/>
      <protection/>
    </xf>
    <xf numFmtId="0" fontId="4" fillId="0" borderId="24" xfId="104" applyFont="1" applyFill="1" applyBorder="1" applyAlignment="1">
      <alignment horizontal="left" wrapText="1"/>
      <protection/>
    </xf>
    <xf numFmtId="0" fontId="4" fillId="0" borderId="26" xfId="104" applyFont="1" applyFill="1" applyBorder="1" applyAlignment="1">
      <alignment horizontal="left" wrapText="1"/>
      <protection/>
    </xf>
    <xf numFmtId="3" fontId="4" fillId="0" borderId="51" xfId="107" applyNumberFormat="1" applyFont="1" applyFill="1" applyBorder="1" applyAlignment="1">
      <alignment horizontal="right" wrapText="1"/>
      <protection/>
    </xf>
    <xf numFmtId="4" fontId="4" fillId="0" borderId="55" xfId="107" applyNumberFormat="1" applyFont="1" applyFill="1" applyBorder="1" applyAlignment="1">
      <alignment horizontal="right" wrapText="1"/>
      <protection/>
    </xf>
    <xf numFmtId="4" fontId="4" fillId="0" borderId="71" xfId="107" applyNumberFormat="1" applyFont="1" applyFill="1" applyBorder="1" applyAlignment="1">
      <alignment horizontal="right" wrapText="1"/>
      <protection/>
    </xf>
    <xf numFmtId="4" fontId="4" fillId="0" borderId="44" xfId="107" applyNumberFormat="1" applyFont="1" applyFill="1" applyBorder="1" applyAlignment="1">
      <alignment horizontal="right" wrapText="1"/>
      <protection/>
    </xf>
    <xf numFmtId="4" fontId="4" fillId="0" borderId="45" xfId="107" applyNumberFormat="1" applyFont="1" applyFill="1" applyBorder="1" applyAlignment="1">
      <alignment horizontal="right" wrapText="1"/>
      <protection/>
    </xf>
    <xf numFmtId="2" fontId="9" fillId="0" borderId="12" xfId="108" applyNumberFormat="1" applyFont="1" applyBorder="1">
      <alignment/>
      <protection/>
    </xf>
    <xf numFmtId="2" fontId="9" fillId="0" borderId="13" xfId="108" applyNumberFormat="1" applyFont="1" applyBorder="1">
      <alignment/>
      <protection/>
    </xf>
    <xf numFmtId="0" fontId="16" fillId="0" borderId="0" xfId="108" applyFont="1">
      <alignment/>
      <protection/>
    </xf>
    <xf numFmtId="0" fontId="10" fillId="0" borderId="0" xfId="108" applyFont="1" applyAlignment="1">
      <alignment/>
      <protection/>
    </xf>
    <xf numFmtId="4" fontId="4" fillId="0" borderId="72" xfId="90" applyNumberFormat="1" applyFont="1" applyFill="1" applyBorder="1" applyAlignment="1">
      <alignment horizontal="right" wrapText="1"/>
      <protection/>
    </xf>
    <xf numFmtId="4" fontId="4" fillId="0" borderId="22" xfId="90" applyNumberFormat="1" applyFont="1" applyFill="1" applyBorder="1" applyAlignment="1">
      <alignment horizontal="right" wrapText="1"/>
      <protection/>
    </xf>
    <xf numFmtId="4" fontId="4" fillId="0" borderId="73" xfId="90" applyNumberFormat="1" applyFont="1" applyFill="1" applyBorder="1" applyAlignment="1">
      <alignment horizontal="right" wrapText="1"/>
      <protection/>
    </xf>
    <xf numFmtId="0" fontId="6" fillId="0" borderId="35" xfId="108" applyFont="1" applyBorder="1" applyAlignment="1">
      <alignment horizontal="center" vertical="center"/>
      <protection/>
    </xf>
    <xf numFmtId="4" fontId="7" fillId="0" borderId="74" xfId="108" applyNumberFormat="1" applyFont="1" applyBorder="1">
      <alignment/>
      <protection/>
    </xf>
    <xf numFmtId="0" fontId="6" fillId="0" borderId="34" xfId="108" applyFont="1" applyBorder="1" applyAlignment="1">
      <alignment horizontal="center" vertical="center"/>
      <protection/>
    </xf>
    <xf numFmtId="4" fontId="7" fillId="0" borderId="10" xfId="108" applyNumberFormat="1" applyFont="1" applyBorder="1">
      <alignment/>
      <protection/>
    </xf>
    <xf numFmtId="4" fontId="7" fillId="0" borderId="35" xfId="108" applyNumberFormat="1" applyFont="1" applyBorder="1">
      <alignment/>
      <protection/>
    </xf>
    <xf numFmtId="4" fontId="7" fillId="0" borderId="34" xfId="108" applyNumberFormat="1" applyFont="1" applyBorder="1">
      <alignment/>
      <protection/>
    </xf>
    <xf numFmtId="0" fontId="6" fillId="0" borderId="11" xfId="108" applyFont="1" applyBorder="1" applyAlignment="1">
      <alignment horizontal="center" vertical="center"/>
      <protection/>
    </xf>
    <xf numFmtId="4" fontId="7" fillId="0" borderId="11" xfId="108" applyNumberFormat="1" applyFont="1" applyBorder="1">
      <alignment/>
      <protection/>
    </xf>
    <xf numFmtId="0" fontId="51" fillId="0" borderId="7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2" fillId="0" borderId="75" xfId="0" applyFont="1" applyBorder="1" applyAlignment="1">
      <alignment horizontal="left" vertical="top" wrapText="1"/>
    </xf>
    <xf numFmtId="0" fontId="52" fillId="0" borderId="75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54" fillId="0" borderId="47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97" fontId="55" fillId="0" borderId="10" xfId="0" applyNumberFormat="1" applyFont="1" applyBorder="1" applyAlignment="1">
      <alignment horizontal="right" vertical="center" wrapText="1" indent="1"/>
    </xf>
    <xf numFmtId="197" fontId="55" fillId="0" borderId="47" xfId="0" applyNumberFormat="1" applyFont="1" applyBorder="1" applyAlignment="1">
      <alignment horizontal="right" vertical="center" wrapText="1" indent="1"/>
    </xf>
    <xf numFmtId="0" fontId="55" fillId="0" borderId="76" xfId="0" applyFont="1" applyBorder="1" applyAlignment="1">
      <alignment horizontal="left" vertical="center" wrapText="1"/>
    </xf>
    <xf numFmtId="0" fontId="55" fillId="0" borderId="75" xfId="0" applyFont="1" applyBorder="1" applyAlignment="1">
      <alignment horizontal="center" vertical="center" wrapText="1"/>
    </xf>
    <xf numFmtId="197" fontId="55" fillId="0" borderId="75" xfId="0" applyNumberFormat="1" applyFont="1" applyBorder="1" applyAlignment="1">
      <alignment horizontal="right" vertical="center" wrapText="1" indent="1"/>
    </xf>
    <xf numFmtId="197" fontId="55" fillId="0" borderId="76" xfId="0" applyNumberFormat="1" applyFont="1" applyBorder="1" applyAlignment="1">
      <alignment horizontal="right" vertical="center" wrapText="1" indent="1"/>
    </xf>
    <xf numFmtId="202" fontId="0" fillId="0" borderId="33" xfId="69" applyNumberFormat="1" applyFont="1" applyBorder="1" applyAlignment="1">
      <alignment horizontal="right" vertical="center" wrapText="1" indent="1"/>
    </xf>
    <xf numFmtId="202" fontId="0" fillId="0" borderId="76" xfId="69" applyNumberFormat="1" applyFont="1" applyBorder="1" applyAlignment="1">
      <alignment horizontal="right" vertical="center" wrapText="1" indent="1"/>
    </xf>
    <xf numFmtId="0" fontId="55" fillId="0" borderId="76" xfId="0" applyFont="1" applyBorder="1" applyAlignment="1">
      <alignment horizontal="center" vertical="center" wrapText="1"/>
    </xf>
    <xf numFmtId="0" fontId="55" fillId="0" borderId="69" xfId="0" applyFont="1" applyBorder="1" applyAlignment="1">
      <alignment horizontal="center" vertical="center" wrapText="1"/>
    </xf>
    <xf numFmtId="202" fontId="0" fillId="0" borderId="77" xfId="69" applyNumberFormat="1" applyFont="1" applyBorder="1" applyAlignment="1">
      <alignment horizontal="right" vertical="center" wrapText="1" indent="1"/>
    </xf>
    <xf numFmtId="202" fontId="0" fillId="0" borderId="48" xfId="69" applyNumberFormat="1" applyFont="1" applyBorder="1" applyAlignment="1">
      <alignment horizontal="right" vertical="center" wrapText="1" indent="1"/>
    </xf>
    <xf numFmtId="199" fontId="55" fillId="0" borderId="75" xfId="0" applyNumberFormat="1" applyFont="1" applyBorder="1" applyAlignment="1">
      <alignment horizontal="right" vertical="center" wrapText="1" indent="1"/>
    </xf>
    <xf numFmtId="0" fontId="54" fillId="0" borderId="76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197" fontId="55" fillId="0" borderId="38" xfId="0" applyNumberFormat="1" applyFont="1" applyBorder="1" applyAlignment="1">
      <alignment horizontal="right" vertical="center" wrapText="1" indent="1"/>
    </xf>
    <xf numFmtId="197" fontId="55" fillId="0" borderId="0" xfId="0" applyNumberFormat="1" applyFont="1" applyBorder="1" applyAlignment="1">
      <alignment horizontal="right" vertical="center" wrapText="1" indent="1"/>
    </xf>
    <xf numFmtId="0" fontId="55" fillId="0" borderId="48" xfId="0" applyFont="1" applyBorder="1" applyAlignment="1">
      <alignment horizontal="left" vertical="center" wrapText="1"/>
    </xf>
    <xf numFmtId="0" fontId="55" fillId="0" borderId="77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/>
    </xf>
    <xf numFmtId="0" fontId="0" fillId="0" borderId="0" xfId="99" applyFont="1">
      <alignment/>
      <protection/>
    </xf>
    <xf numFmtId="166" fontId="59" fillId="0" borderId="43" xfId="99" applyNumberFormat="1" applyFont="1" applyFill="1" applyBorder="1" applyAlignment="1">
      <alignment horizontal="right" vertical="center"/>
      <protection/>
    </xf>
    <xf numFmtId="4" fontId="58" fillId="0" borderId="43" xfId="99" applyNumberFormat="1" applyFont="1" applyFill="1" applyBorder="1" applyAlignment="1">
      <alignment horizontal="right" vertical="center"/>
      <protection/>
    </xf>
    <xf numFmtId="166" fontId="58" fillId="0" borderId="43" xfId="99" applyNumberFormat="1" applyFont="1" applyFill="1" applyBorder="1" applyAlignment="1">
      <alignment horizontal="right" vertical="center"/>
      <protection/>
    </xf>
    <xf numFmtId="0" fontId="0" fillId="0" borderId="0" xfId="99" applyFont="1" applyFill="1">
      <alignment/>
      <protection/>
    </xf>
    <xf numFmtId="166" fontId="11" fillId="0" borderId="0" xfId="99" applyNumberFormat="1" applyFont="1" applyFill="1" applyAlignment="1">
      <alignment horizontal="right" vertical="center"/>
      <protection/>
    </xf>
    <xf numFmtId="0" fontId="11" fillId="0" borderId="43" xfId="99" applyFont="1" applyFill="1" applyBorder="1" applyAlignment="1">
      <alignment horizontal="left" vertical="center" wrapText="1" indent="1"/>
      <protection/>
    </xf>
    <xf numFmtId="166" fontId="11" fillId="0" borderId="43" xfId="99" applyNumberFormat="1" applyFont="1" applyFill="1" applyBorder="1" applyAlignment="1">
      <alignment horizontal="right" vertical="center"/>
      <protection/>
    </xf>
    <xf numFmtId="0" fontId="11" fillId="0" borderId="0" xfId="99" applyFont="1" applyFill="1" applyAlignment="1">
      <alignment horizontal="left" vertical="center"/>
      <protection/>
    </xf>
    <xf numFmtId="0" fontId="58" fillId="0" borderId="0" xfId="99" applyFont="1" applyFill="1" applyBorder="1" applyAlignment="1">
      <alignment horizontal="left" vertical="center" wrapText="1" indent="1"/>
      <protection/>
    </xf>
    <xf numFmtId="3" fontId="60" fillId="0" borderId="0" xfId="99" applyNumberFormat="1" applyFont="1" applyFill="1" applyBorder="1" applyAlignment="1">
      <alignment horizontal="left" vertical="center"/>
      <protection/>
    </xf>
    <xf numFmtId="3" fontId="60" fillId="0" borderId="0" xfId="99" applyNumberFormat="1" applyFont="1" applyFill="1" applyBorder="1" applyAlignment="1">
      <alignment horizontal="right" vertical="center"/>
      <protection/>
    </xf>
    <xf numFmtId="0" fontId="8" fillId="0" borderId="0" xfId="99" applyFont="1" applyFill="1" applyBorder="1" applyAlignment="1">
      <alignment vertical="center"/>
      <protection/>
    </xf>
    <xf numFmtId="166" fontId="60" fillId="0" borderId="0" xfId="99" applyNumberFormat="1" applyFont="1" applyFill="1" applyBorder="1" applyAlignment="1">
      <alignment horizontal="center" vertical="center"/>
      <protection/>
    </xf>
    <xf numFmtId="166" fontId="0" fillId="0" borderId="0" xfId="99" applyNumberFormat="1" applyFont="1" applyFill="1">
      <alignment/>
      <protection/>
    </xf>
    <xf numFmtId="0" fontId="60" fillId="0" borderId="0" xfId="99" applyFont="1" applyFill="1" applyBorder="1" applyAlignment="1">
      <alignment horizontal="left" vertical="center"/>
      <protection/>
    </xf>
    <xf numFmtId="0" fontId="8" fillId="0" borderId="0" xfId="99" applyFont="1" applyFill="1" applyAlignment="1">
      <alignment vertical="center"/>
      <protection/>
    </xf>
    <xf numFmtId="0" fontId="58" fillId="0" borderId="43" xfId="99" applyFont="1" applyFill="1" applyBorder="1" applyAlignment="1">
      <alignment horizontal="center" vertical="center" wrapText="1"/>
      <protection/>
    </xf>
    <xf numFmtId="0" fontId="58" fillId="0" borderId="43" xfId="99" applyFont="1" applyFill="1" applyBorder="1" applyAlignment="1">
      <alignment horizontal="center" vertical="center"/>
      <protection/>
    </xf>
    <xf numFmtId="0" fontId="11" fillId="0" borderId="43" xfId="99" applyFont="1" applyFill="1" applyBorder="1" applyAlignment="1">
      <alignment horizontal="center" vertical="center"/>
      <protection/>
    </xf>
    <xf numFmtId="0" fontId="57" fillId="0" borderId="43" xfId="99" applyFont="1" applyFill="1" applyBorder="1" applyAlignment="1">
      <alignment horizontal="left" vertical="center" wrapText="1"/>
      <protection/>
    </xf>
    <xf numFmtId="4" fontId="59" fillId="0" borderId="43" xfId="99" applyNumberFormat="1" applyFont="1" applyFill="1" applyBorder="1" applyAlignment="1">
      <alignment horizontal="right" vertical="center"/>
      <protection/>
    </xf>
    <xf numFmtId="0" fontId="58" fillId="0" borderId="43" xfId="99" applyFont="1" applyFill="1" applyBorder="1" applyAlignment="1">
      <alignment horizontal="left" vertical="center" wrapText="1" indent="1"/>
      <protection/>
    </xf>
    <xf numFmtId="4" fontId="11" fillId="0" borderId="43" xfId="99" applyNumberFormat="1" applyFont="1" applyFill="1" applyBorder="1" applyAlignment="1">
      <alignment horizontal="right" vertical="center"/>
      <protection/>
    </xf>
    <xf numFmtId="0" fontId="58" fillId="0" borderId="43" xfId="99" applyFont="1" applyFill="1" applyBorder="1" applyAlignment="1">
      <alignment horizontal="left" vertical="center" wrapText="1" indent="2"/>
      <protection/>
    </xf>
    <xf numFmtId="0" fontId="11" fillId="0" borderId="43" xfId="99" applyFont="1" applyFill="1" applyBorder="1" applyAlignment="1">
      <alignment horizontal="center" vertical="center" wrapText="1"/>
      <protection/>
    </xf>
    <xf numFmtId="0" fontId="0" fillId="0" borderId="0" xfId="99" applyFont="1" applyFill="1" applyBorder="1">
      <alignment/>
      <protection/>
    </xf>
    <xf numFmtId="0" fontId="4" fillId="0" borderId="0" xfId="99" applyFont="1" applyFill="1" applyBorder="1" applyAlignment="1">
      <alignment horizontal="center" vertical="center" wrapText="1"/>
      <protection/>
    </xf>
    <xf numFmtId="0" fontId="61" fillId="0" borderId="0" xfId="99" applyFont="1" applyFill="1" applyBorder="1" applyAlignment="1">
      <alignment horizontal="center" vertical="center" wrapText="1"/>
      <protection/>
    </xf>
    <xf numFmtId="0" fontId="56" fillId="0" borderId="0" xfId="109" applyFont="1" applyFill="1" applyAlignment="1">
      <alignment horizontal="center" vertical="center" wrapText="1"/>
      <protection/>
    </xf>
    <xf numFmtId="4" fontId="16" fillId="0" borderId="43" xfId="99" applyNumberFormat="1" applyFont="1" applyFill="1" applyBorder="1" applyAlignment="1">
      <alignment horizontal="right" vertical="center"/>
      <protection/>
    </xf>
    <xf numFmtId="166" fontId="16" fillId="0" borderId="43" xfId="99" applyNumberFormat="1" applyFont="1" applyFill="1" applyBorder="1" applyAlignment="1">
      <alignment horizontal="right" vertical="center"/>
      <protection/>
    </xf>
    <xf numFmtId="4" fontId="59" fillId="0" borderId="43" xfId="99" applyNumberFormat="1" applyFont="1" applyFill="1" applyBorder="1" applyAlignment="1">
      <alignment horizontal="right" vertical="center" wrapText="1"/>
      <protection/>
    </xf>
    <xf numFmtId="4" fontId="58" fillId="0" borderId="43" xfId="99" applyNumberFormat="1" applyFont="1" applyFill="1" applyBorder="1" applyAlignment="1">
      <alignment horizontal="right" vertical="center" wrapText="1"/>
      <protection/>
    </xf>
    <xf numFmtId="0" fontId="57" fillId="0" borderId="0" xfId="99" applyFont="1" applyFill="1" applyBorder="1" applyAlignment="1">
      <alignment horizontal="left" vertical="center"/>
      <protection/>
    </xf>
    <xf numFmtId="3" fontId="57" fillId="0" borderId="0" xfId="99" applyNumberFormat="1" applyFont="1" applyFill="1" applyBorder="1" applyAlignment="1">
      <alignment horizontal="right" vertical="center"/>
      <protection/>
    </xf>
    <xf numFmtId="0" fontId="0" fillId="0" borderId="0" xfId="99" applyFont="1" applyFill="1" applyBorder="1" applyAlignment="1">
      <alignment horizontal="center" vertical="top" wrapText="1"/>
      <protection/>
    </xf>
    <xf numFmtId="0" fontId="11" fillId="0" borderId="43" xfId="99" applyFont="1" applyFill="1" applyBorder="1" applyAlignment="1">
      <alignment horizontal="center"/>
      <protection/>
    </xf>
    <xf numFmtId="0" fontId="10" fillId="0" borderId="0" xfId="99" applyFont="1" applyFill="1" applyBorder="1" applyAlignment="1">
      <alignment horizontal="center" vertical="center"/>
      <protection/>
    </xf>
    <xf numFmtId="166" fontId="16" fillId="0" borderId="43" xfId="69" applyNumberFormat="1" applyFont="1" applyFill="1" applyBorder="1" applyAlignment="1">
      <alignment horizontal="right" vertical="center"/>
    </xf>
    <xf numFmtId="0" fontId="0" fillId="0" borderId="43" xfId="99" applyFont="1" applyFill="1" applyBorder="1">
      <alignment/>
      <protection/>
    </xf>
    <xf numFmtId="201" fontId="0" fillId="0" borderId="43" xfId="99" applyNumberFormat="1" applyFont="1" applyFill="1" applyBorder="1">
      <alignment/>
      <protection/>
    </xf>
    <xf numFmtId="0" fontId="56" fillId="0" borderId="0" xfId="109" applyFont="1" applyAlignment="1">
      <alignment horizontal="center" vertical="center" wrapText="1"/>
      <protection/>
    </xf>
    <xf numFmtId="0" fontId="66" fillId="0" borderId="43" xfId="109" applyFont="1" applyFill="1" applyBorder="1" applyAlignment="1">
      <alignment horizontal="center" vertical="center" wrapText="1"/>
      <protection/>
    </xf>
    <xf numFmtId="0" fontId="0" fillId="0" borderId="0" xfId="109" applyAlignment="1">
      <alignment horizontal="center" vertical="center" wrapText="1"/>
      <protection/>
    </xf>
    <xf numFmtId="0" fontId="64" fillId="0" borderId="0" xfId="109" applyFont="1" applyFill="1" applyBorder="1" applyAlignment="1">
      <alignment horizontal="center" vertical="center" wrapText="1"/>
      <protection/>
    </xf>
    <xf numFmtId="0" fontId="64" fillId="0" borderId="0" xfId="109" applyFont="1" applyAlignment="1">
      <alignment horizontal="center" vertical="center" wrapText="1"/>
      <protection/>
    </xf>
    <xf numFmtId="0" fontId="66" fillId="0" borderId="30" xfId="100" applyFont="1" applyFill="1" applyBorder="1" applyAlignment="1">
      <alignment wrapText="1"/>
      <protection/>
    </xf>
    <xf numFmtId="0" fontId="66" fillId="0" borderId="30" xfId="100" applyFont="1" applyFill="1" applyBorder="1" applyAlignment="1">
      <alignment horizontal="left" wrapText="1" indent="1"/>
      <protection/>
    </xf>
    <xf numFmtId="0" fontId="66" fillId="0" borderId="50" xfId="100" applyFont="1" applyFill="1" applyBorder="1" applyAlignment="1">
      <alignment wrapText="1"/>
      <protection/>
    </xf>
    <xf numFmtId="0" fontId="66" fillId="0" borderId="50" xfId="100" applyFont="1" applyFill="1" applyBorder="1" applyAlignment="1">
      <alignment horizontal="left" wrapText="1" indent="1"/>
      <protection/>
    </xf>
    <xf numFmtId="0" fontId="66" fillId="0" borderId="30" xfId="100" applyFont="1" applyFill="1" applyBorder="1" applyAlignment="1">
      <alignment horizontal="left" indent="1"/>
      <protection/>
    </xf>
    <xf numFmtId="0" fontId="66" fillId="0" borderId="50" xfId="100" applyFont="1" applyFill="1" applyBorder="1">
      <alignment/>
      <protection/>
    </xf>
    <xf numFmtId="0" fontId="66" fillId="0" borderId="77" xfId="100" applyFont="1" applyFill="1" applyBorder="1" applyAlignment="1">
      <alignment horizontal="left" indent="1"/>
      <protection/>
    </xf>
    <xf numFmtId="0" fontId="0" fillId="0" borderId="0" xfId="109" applyFill="1" applyBorder="1" applyAlignment="1">
      <alignment horizontal="center" vertical="center" wrapText="1"/>
      <protection/>
    </xf>
    <xf numFmtId="0" fontId="11" fillId="0" borderId="0" xfId="109" applyFont="1" applyFill="1" applyBorder="1" applyAlignment="1">
      <alignment horizontal="center" vertical="center" wrapText="1"/>
      <protection/>
    </xf>
    <xf numFmtId="0" fontId="11" fillId="0" borderId="0" xfId="109" applyFont="1" applyFill="1" applyBorder="1" applyAlignment="1">
      <alignment horizontal="left" vertical="center" wrapText="1"/>
      <protection/>
    </xf>
    <xf numFmtId="0" fontId="11" fillId="0" borderId="0" xfId="109" applyFont="1" applyFill="1" applyBorder="1" applyAlignment="1">
      <alignment horizontal="center" vertical="center" wrapText="1"/>
      <protection/>
    </xf>
    <xf numFmtId="0" fontId="0" fillId="0" borderId="0" xfId="109" applyFill="1" applyAlignment="1">
      <alignment horizontal="center" vertical="center" wrapText="1"/>
      <protection/>
    </xf>
    <xf numFmtId="0" fontId="64" fillId="0" borderId="0" xfId="109" applyFont="1" applyFill="1" applyAlignment="1">
      <alignment horizontal="center" vertical="center" wrapText="1"/>
      <protection/>
    </xf>
    <xf numFmtId="0" fontId="65" fillId="0" borderId="43" xfId="109" applyFont="1" applyFill="1" applyBorder="1" applyAlignment="1">
      <alignment horizontal="left" vertical="center" wrapText="1"/>
      <protection/>
    </xf>
    <xf numFmtId="4" fontId="66" fillId="0" borderId="43" xfId="109" applyNumberFormat="1" applyFont="1" applyFill="1" applyBorder="1" applyAlignment="1">
      <alignment horizontal="right" vertical="center" wrapText="1"/>
      <protection/>
    </xf>
    <xf numFmtId="4" fontId="66" fillId="0" borderId="43" xfId="109" applyNumberFormat="1" applyFont="1" applyFill="1" applyBorder="1" applyAlignment="1">
      <alignment vertical="center" wrapText="1"/>
      <protection/>
    </xf>
    <xf numFmtId="0" fontId="11" fillId="0" borderId="43" xfId="109" applyFont="1" applyFill="1" applyBorder="1" applyAlignment="1">
      <alignment horizontal="center" vertical="center" wrapText="1"/>
      <protection/>
    </xf>
    <xf numFmtId="0" fontId="0" fillId="0" borderId="43" xfId="109" applyFill="1" applyBorder="1" applyAlignment="1">
      <alignment horizontal="center" vertical="center" wrapText="1"/>
      <protection/>
    </xf>
    <xf numFmtId="0" fontId="0" fillId="0" borderId="43" xfId="100" applyFont="1" applyFill="1" applyBorder="1">
      <alignment/>
      <protection/>
    </xf>
    <xf numFmtId="0" fontId="0" fillId="0" borderId="0" xfId="100" applyFont="1" applyFill="1">
      <alignment/>
      <protection/>
    </xf>
    <xf numFmtId="201" fontId="0" fillId="0" borderId="43" xfId="100" applyNumberFormat="1" applyFont="1" applyFill="1" applyBorder="1">
      <alignment/>
      <protection/>
    </xf>
    <xf numFmtId="0" fontId="0" fillId="0" borderId="0" xfId="94" applyFont="1">
      <alignment/>
      <protection/>
    </xf>
    <xf numFmtId="166" fontId="59" fillId="0" borderId="43" xfId="94" applyNumberFormat="1" applyFont="1" applyFill="1" applyBorder="1" applyAlignment="1">
      <alignment horizontal="right" vertical="center"/>
      <protection/>
    </xf>
    <xf numFmtId="4" fontId="58" fillId="0" borderId="43" xfId="94" applyNumberFormat="1" applyFont="1" applyFill="1" applyBorder="1" applyAlignment="1">
      <alignment horizontal="right" vertical="center"/>
      <protection/>
    </xf>
    <xf numFmtId="166" fontId="58" fillId="0" borderId="43" xfId="94" applyNumberFormat="1" applyFont="1" applyFill="1" applyBorder="1" applyAlignment="1">
      <alignment horizontal="right" vertical="center"/>
      <protection/>
    </xf>
    <xf numFmtId="0" fontId="0" fillId="0" borderId="0" xfId="94" applyFont="1" applyFill="1">
      <alignment/>
      <protection/>
    </xf>
    <xf numFmtId="166" fontId="11" fillId="0" borderId="0" xfId="94" applyNumberFormat="1" applyFont="1" applyFill="1" applyAlignment="1">
      <alignment horizontal="right" vertical="center"/>
      <protection/>
    </xf>
    <xf numFmtId="0" fontId="58" fillId="0" borderId="43" xfId="94" applyFont="1" applyFill="1" applyBorder="1" applyAlignment="1">
      <alignment horizontal="left" vertical="center" wrapText="1" indent="1"/>
      <protection/>
    </xf>
    <xf numFmtId="0" fontId="11" fillId="0" borderId="0" xfId="94" applyFont="1" applyFill="1" applyAlignment="1">
      <alignment horizontal="left" vertical="center"/>
      <protection/>
    </xf>
    <xf numFmtId="0" fontId="58" fillId="0" borderId="0" xfId="94" applyFont="1" applyFill="1" applyBorder="1" applyAlignment="1">
      <alignment horizontal="left" vertical="center" wrapText="1" indent="1"/>
      <protection/>
    </xf>
    <xf numFmtId="3" fontId="60" fillId="0" borderId="0" xfId="94" applyNumberFormat="1" applyFont="1" applyFill="1" applyBorder="1" applyAlignment="1">
      <alignment horizontal="left" vertical="center"/>
      <protection/>
    </xf>
    <xf numFmtId="3" fontId="60" fillId="0" borderId="0" xfId="94" applyNumberFormat="1" applyFont="1" applyFill="1" applyBorder="1" applyAlignment="1">
      <alignment horizontal="right" vertical="center"/>
      <protection/>
    </xf>
    <xf numFmtId="0" fontId="8" fillId="0" borderId="0" xfId="94" applyFont="1" applyFill="1" applyBorder="1" applyAlignment="1">
      <alignment vertical="center"/>
      <protection/>
    </xf>
    <xf numFmtId="166" fontId="60" fillId="0" borderId="0" xfId="94" applyNumberFormat="1" applyFont="1" applyFill="1" applyBorder="1" applyAlignment="1">
      <alignment horizontal="center" vertical="center"/>
      <protection/>
    </xf>
    <xf numFmtId="166" fontId="0" fillId="0" borderId="0" xfId="94" applyNumberFormat="1" applyFont="1" applyFill="1">
      <alignment/>
      <protection/>
    </xf>
    <xf numFmtId="0" fontId="60" fillId="0" borderId="0" xfId="94" applyFont="1" applyFill="1" applyBorder="1" applyAlignment="1">
      <alignment horizontal="left" vertical="center"/>
      <protection/>
    </xf>
    <xf numFmtId="0" fontId="8" fillId="0" borderId="0" xfId="94" applyFont="1" applyFill="1" applyAlignment="1">
      <alignment vertical="center"/>
      <protection/>
    </xf>
    <xf numFmtId="0" fontId="57" fillId="0" borderId="43" xfId="94" applyFont="1" applyFill="1" applyBorder="1" applyAlignment="1">
      <alignment horizontal="left" vertical="center" wrapText="1"/>
      <protection/>
    </xf>
    <xf numFmtId="0" fontId="58" fillId="0" borderId="43" xfId="94" applyFont="1" applyFill="1" applyBorder="1" applyAlignment="1">
      <alignment horizontal="center" vertical="center" wrapText="1"/>
      <protection/>
    </xf>
    <xf numFmtId="0" fontId="58" fillId="0" borderId="43" xfId="94" applyFont="1" applyFill="1" applyBorder="1" applyAlignment="1">
      <alignment horizontal="center" vertical="center"/>
      <protection/>
    </xf>
    <xf numFmtId="0" fontId="11" fillId="0" borderId="43" xfId="94" applyFont="1" applyFill="1" applyBorder="1" applyAlignment="1">
      <alignment horizontal="center" vertical="center"/>
      <protection/>
    </xf>
    <xf numFmtId="4" fontId="59" fillId="0" borderId="43" xfId="94" applyNumberFormat="1" applyFont="1" applyFill="1" applyBorder="1" applyAlignment="1">
      <alignment horizontal="right" vertical="center"/>
      <protection/>
    </xf>
    <xf numFmtId="4" fontId="11" fillId="0" borderId="43" xfId="94" applyNumberFormat="1" applyFont="1" applyFill="1" applyBorder="1" applyAlignment="1">
      <alignment horizontal="right" vertical="center"/>
      <protection/>
    </xf>
    <xf numFmtId="0" fontId="58" fillId="0" borderId="43" xfId="94" applyFont="1" applyFill="1" applyBorder="1" applyAlignment="1">
      <alignment horizontal="left" vertical="center" wrapText="1" indent="2"/>
      <protection/>
    </xf>
    <xf numFmtId="0" fontId="11" fillId="0" borderId="43" xfId="94" applyFont="1" applyFill="1" applyBorder="1" applyAlignment="1">
      <alignment horizontal="center" vertical="center" wrapText="1"/>
      <protection/>
    </xf>
    <xf numFmtId="0" fontId="0" fillId="0" borderId="0" xfId="94" applyFont="1" applyFill="1" applyBorder="1">
      <alignment/>
      <protection/>
    </xf>
    <xf numFmtId="0" fontId="4" fillId="0" borderId="0" xfId="94" applyFont="1" applyFill="1" applyBorder="1" applyAlignment="1">
      <alignment horizontal="center" vertical="center" wrapText="1"/>
      <protection/>
    </xf>
    <xf numFmtId="0" fontId="61" fillId="0" borderId="0" xfId="94" applyFont="1" applyFill="1" applyBorder="1" applyAlignment="1">
      <alignment horizontal="center" vertical="center" wrapText="1"/>
      <protection/>
    </xf>
    <xf numFmtId="4" fontId="16" fillId="0" borderId="43" xfId="94" applyNumberFormat="1" applyFont="1" applyFill="1" applyBorder="1" applyAlignment="1">
      <alignment horizontal="right" vertical="center"/>
      <protection/>
    </xf>
    <xf numFmtId="166" fontId="16" fillId="0" borderId="43" xfId="94" applyNumberFormat="1" applyFont="1" applyFill="1" applyBorder="1" applyAlignment="1">
      <alignment horizontal="right" vertical="center"/>
      <protection/>
    </xf>
    <xf numFmtId="4" fontId="59" fillId="0" borderId="43" xfId="94" applyNumberFormat="1" applyFont="1" applyFill="1" applyBorder="1" applyAlignment="1">
      <alignment horizontal="right" vertical="center" wrapText="1"/>
      <protection/>
    </xf>
    <xf numFmtId="166" fontId="11" fillId="0" borderId="43" xfId="94" applyNumberFormat="1" applyFont="1" applyFill="1" applyBorder="1" applyAlignment="1">
      <alignment horizontal="right" vertical="center"/>
      <protection/>
    </xf>
    <xf numFmtId="4" fontId="58" fillId="0" borderId="43" xfId="94" applyNumberFormat="1" applyFont="1" applyFill="1" applyBorder="1" applyAlignment="1">
      <alignment horizontal="right" vertical="center" wrapText="1"/>
      <protection/>
    </xf>
    <xf numFmtId="4" fontId="11" fillId="0" borderId="0" xfId="94" applyNumberFormat="1" applyFont="1" applyFill="1" applyBorder="1" applyAlignment="1">
      <alignment horizontal="right" vertical="center"/>
      <protection/>
    </xf>
    <xf numFmtId="0" fontId="0" fillId="0" borderId="0" xfId="94" applyFont="1" applyFill="1" applyBorder="1" applyAlignment="1">
      <alignment horizontal="center" vertical="center"/>
      <protection/>
    </xf>
    <xf numFmtId="0" fontId="0" fillId="0" borderId="0" xfId="94" applyFont="1" applyFill="1" applyBorder="1" applyAlignment="1">
      <alignment horizontal="center" vertical="top" wrapText="1"/>
      <protection/>
    </xf>
    <xf numFmtId="0" fontId="11" fillId="0" borderId="43" xfId="94" applyFont="1" applyFill="1" applyBorder="1" applyAlignment="1">
      <alignment horizontal="center"/>
      <protection/>
    </xf>
    <xf numFmtId="0" fontId="10" fillId="0" borderId="0" xfId="94" applyFont="1" applyFill="1" applyBorder="1" applyAlignment="1">
      <alignment horizontal="center" vertical="center"/>
      <protection/>
    </xf>
    <xf numFmtId="0" fontId="0" fillId="0" borderId="43" xfId="94" applyFont="1" applyFill="1" applyBorder="1">
      <alignment/>
      <protection/>
    </xf>
    <xf numFmtId="201" fontId="0" fillId="0" borderId="43" xfId="94" applyNumberFormat="1" applyFont="1" applyFill="1" applyBorder="1">
      <alignment/>
      <protection/>
    </xf>
    <xf numFmtId="0" fontId="66" fillId="0" borderId="30" xfId="95" applyFont="1" applyFill="1" applyBorder="1" applyAlignment="1">
      <alignment wrapText="1"/>
      <protection/>
    </xf>
    <xf numFmtId="0" fontId="66" fillId="0" borderId="30" xfId="95" applyFont="1" applyFill="1" applyBorder="1" applyAlignment="1">
      <alignment horizontal="left" wrapText="1" indent="1"/>
      <protection/>
    </xf>
    <xf numFmtId="0" fontId="66" fillId="0" borderId="50" xfId="95" applyFont="1" applyFill="1" applyBorder="1" applyAlignment="1">
      <alignment wrapText="1"/>
      <protection/>
    </xf>
    <xf numFmtId="0" fontId="66" fillId="0" borderId="50" xfId="95" applyFont="1" applyFill="1" applyBorder="1" applyAlignment="1">
      <alignment horizontal="left" wrapText="1" indent="1"/>
      <protection/>
    </xf>
    <xf numFmtId="0" fontId="66" fillId="0" borderId="30" xfId="95" applyFont="1" applyFill="1" applyBorder="1" applyAlignment="1">
      <alignment horizontal="left" indent="1"/>
      <protection/>
    </xf>
    <xf numFmtId="0" fontId="66" fillId="0" borderId="50" xfId="95" applyFont="1" applyFill="1" applyBorder="1">
      <alignment/>
      <protection/>
    </xf>
    <xf numFmtId="0" fontId="66" fillId="0" borderId="77" xfId="95" applyFont="1" applyFill="1" applyBorder="1" applyAlignment="1">
      <alignment horizontal="left" indent="1"/>
      <protection/>
    </xf>
    <xf numFmtId="0" fontId="0" fillId="0" borderId="43" xfId="95" applyFont="1" applyFill="1" applyBorder="1">
      <alignment/>
      <protection/>
    </xf>
    <xf numFmtId="0" fontId="0" fillId="0" borderId="0" xfId="95" applyFont="1" applyFill="1">
      <alignment/>
      <protection/>
    </xf>
    <xf numFmtId="201" fontId="0" fillId="0" borderId="43" xfId="95" applyNumberFormat="1" applyFont="1" applyFill="1" applyBorder="1">
      <alignment/>
      <protection/>
    </xf>
    <xf numFmtId="0" fontId="0" fillId="0" borderId="0" xfId="102" applyFont="1">
      <alignment/>
      <protection/>
    </xf>
    <xf numFmtId="166" fontId="59" fillId="0" borderId="43" xfId="102" applyNumberFormat="1" applyFont="1" applyFill="1" applyBorder="1" applyAlignment="1">
      <alignment horizontal="right" vertical="center"/>
      <protection/>
    </xf>
    <xf numFmtId="0" fontId="58" fillId="0" borderId="43" xfId="102" applyFont="1" applyFill="1" applyBorder="1" applyAlignment="1">
      <alignment horizontal="left" vertical="center" wrapText="1" indent="1"/>
      <protection/>
    </xf>
    <xf numFmtId="4" fontId="58" fillId="0" borderId="43" xfId="102" applyNumberFormat="1" applyFont="1" applyFill="1" applyBorder="1" applyAlignment="1">
      <alignment horizontal="right" vertical="center"/>
      <protection/>
    </xf>
    <xf numFmtId="166" fontId="58" fillId="0" borderId="43" xfId="102" applyNumberFormat="1" applyFont="1" applyFill="1" applyBorder="1" applyAlignment="1">
      <alignment horizontal="right" vertical="center"/>
      <protection/>
    </xf>
    <xf numFmtId="0" fontId="0" fillId="0" borderId="0" xfId="102" applyFont="1" applyFill="1">
      <alignment/>
      <protection/>
    </xf>
    <xf numFmtId="166" fontId="11" fillId="0" borderId="0" xfId="102" applyNumberFormat="1" applyFont="1" applyFill="1" applyAlignment="1">
      <alignment horizontal="right" vertical="center"/>
      <protection/>
    </xf>
    <xf numFmtId="0" fontId="11" fillId="0" borderId="0" xfId="102" applyFont="1" applyFill="1" applyAlignment="1">
      <alignment horizontal="left" vertical="center"/>
      <protection/>
    </xf>
    <xf numFmtId="0" fontId="58" fillId="0" borderId="0" xfId="102" applyFont="1" applyFill="1" applyBorder="1" applyAlignment="1">
      <alignment horizontal="left" vertical="center" wrapText="1" indent="1"/>
      <protection/>
    </xf>
    <xf numFmtId="3" fontId="60" fillId="0" borderId="0" xfId="102" applyFont="1" applyFill="1" applyBorder="1" applyAlignment="1">
      <alignment horizontal="left" vertical="center"/>
      <protection/>
    </xf>
    <xf numFmtId="3" fontId="60" fillId="0" borderId="0" xfId="102" applyFont="1" applyFill="1" applyBorder="1" applyAlignment="1">
      <alignment horizontal="right" vertical="center"/>
      <protection/>
    </xf>
    <xf numFmtId="0" fontId="8" fillId="0" borderId="0" xfId="102" applyFont="1" applyFill="1" applyBorder="1" applyAlignment="1">
      <alignment vertical="center"/>
      <protection/>
    </xf>
    <xf numFmtId="166" fontId="60" fillId="0" borderId="0" xfId="102" applyNumberFormat="1" applyFont="1" applyFill="1" applyBorder="1" applyAlignment="1">
      <alignment horizontal="center" vertical="center"/>
      <protection/>
    </xf>
    <xf numFmtId="166" fontId="0" fillId="0" borderId="0" xfId="102" applyNumberFormat="1" applyFont="1" applyFill="1">
      <alignment/>
      <protection/>
    </xf>
    <xf numFmtId="0" fontId="60" fillId="0" borderId="0" xfId="102" applyFont="1" applyFill="1" applyBorder="1">
      <alignment horizontal="left" vertical="center"/>
      <protection/>
    </xf>
    <xf numFmtId="0" fontId="8" fillId="0" borderId="0" xfId="102" applyFont="1" applyFill="1" applyAlignment="1">
      <alignment vertical="center"/>
      <protection/>
    </xf>
    <xf numFmtId="0" fontId="0" fillId="0" borderId="0" xfId="102" applyFont="1" applyBorder="1">
      <alignment/>
      <protection/>
    </xf>
    <xf numFmtId="0" fontId="61" fillId="0" borderId="0" xfId="102" applyFont="1" applyBorder="1" applyAlignment="1">
      <alignment horizontal="center" vertical="center" wrapText="1"/>
      <protection/>
    </xf>
    <xf numFmtId="0" fontId="58" fillId="0" borderId="43" xfId="102" applyFont="1" applyFill="1" applyBorder="1" applyAlignment="1">
      <alignment horizontal="center" vertical="center" wrapText="1"/>
      <protection/>
    </xf>
    <xf numFmtId="0" fontId="58" fillId="0" borderId="43" xfId="102" applyFont="1" applyFill="1" applyBorder="1" applyAlignment="1">
      <alignment horizontal="center" vertical="center"/>
      <protection/>
    </xf>
    <xf numFmtId="0" fontId="11" fillId="0" borderId="43" xfId="102" applyFont="1" applyFill="1" applyBorder="1" applyAlignment="1">
      <alignment horizontal="center" vertical="center"/>
      <protection/>
    </xf>
    <xf numFmtId="0" fontId="57" fillId="0" borderId="43" xfId="102" applyFont="1" applyFill="1" applyBorder="1" applyAlignment="1">
      <alignment horizontal="left" vertical="center" wrapText="1"/>
      <protection/>
    </xf>
    <xf numFmtId="4" fontId="59" fillId="0" borderId="43" xfId="102" applyNumberFormat="1" applyFont="1" applyFill="1" applyBorder="1" applyAlignment="1">
      <alignment horizontal="right" vertical="center"/>
      <protection/>
    </xf>
    <xf numFmtId="4" fontId="11" fillId="0" borderId="43" xfId="102" applyNumberFormat="1" applyFont="1" applyFill="1" applyBorder="1" applyAlignment="1">
      <alignment horizontal="right" vertical="center"/>
      <protection/>
    </xf>
    <xf numFmtId="0" fontId="58" fillId="0" borderId="43" xfId="102" applyFont="1" applyFill="1" applyBorder="1" applyAlignment="1">
      <alignment horizontal="left" vertical="center" wrapText="1" indent="2"/>
      <protection/>
    </xf>
    <xf numFmtId="0" fontId="11" fillId="0" borderId="43" xfId="102" applyFont="1" applyFill="1" applyBorder="1" applyAlignment="1">
      <alignment horizontal="center" vertical="center" wrapText="1"/>
      <protection/>
    </xf>
    <xf numFmtId="0" fontId="4" fillId="0" borderId="0" xfId="102" applyFont="1" applyFill="1" applyBorder="1" applyAlignment="1">
      <alignment horizontal="center" vertical="center" wrapText="1"/>
      <protection/>
    </xf>
    <xf numFmtId="4" fontId="16" fillId="0" borderId="43" xfId="102" applyNumberFormat="1" applyFont="1" applyFill="1" applyBorder="1" applyAlignment="1">
      <alignment horizontal="right" vertical="center"/>
      <protection/>
    </xf>
    <xf numFmtId="166" fontId="16" fillId="0" borderId="43" xfId="102" applyNumberFormat="1" applyFont="1" applyFill="1" applyBorder="1" applyAlignment="1">
      <alignment horizontal="right" vertical="center"/>
      <protection/>
    </xf>
    <xf numFmtId="4" fontId="59" fillId="0" borderId="43" xfId="102" applyNumberFormat="1" applyFont="1" applyFill="1" applyBorder="1" applyAlignment="1">
      <alignment horizontal="right" vertical="center" wrapText="1"/>
      <protection/>
    </xf>
    <xf numFmtId="166" fontId="11" fillId="0" borderId="43" xfId="102" applyNumberFormat="1" applyFont="1" applyFill="1" applyBorder="1" applyAlignment="1">
      <alignment horizontal="right" vertical="center"/>
      <protection/>
    </xf>
    <xf numFmtId="4" fontId="58" fillId="0" borderId="43" xfId="102" applyNumberFormat="1" applyFont="1" applyFill="1" applyBorder="1" applyAlignment="1">
      <alignment horizontal="right" vertical="center" wrapText="1"/>
      <protection/>
    </xf>
    <xf numFmtId="4" fontId="11" fillId="0" borderId="0" xfId="102" applyNumberFormat="1" applyFont="1" applyFill="1" applyBorder="1" applyAlignment="1">
      <alignment horizontal="right" vertical="center"/>
      <protection/>
    </xf>
    <xf numFmtId="0" fontId="0" fillId="0" borderId="0" xfId="102" applyFont="1" applyFill="1" applyBorder="1" applyAlignment="1">
      <alignment horizontal="center" vertical="center"/>
      <protection/>
    </xf>
    <xf numFmtId="0" fontId="57" fillId="0" borderId="0" xfId="102" applyFont="1" applyFill="1" applyBorder="1">
      <alignment horizontal="left" vertical="center"/>
      <protection/>
    </xf>
    <xf numFmtId="3" fontId="57" fillId="0" borderId="0" xfId="102" applyFont="1" applyFill="1" applyBorder="1">
      <alignment horizontal="right" vertical="center"/>
      <protection/>
    </xf>
    <xf numFmtId="0" fontId="0" fillId="0" borderId="0" xfId="102" applyFont="1" applyFill="1" applyBorder="1">
      <alignment/>
      <protection/>
    </xf>
    <xf numFmtId="0" fontId="0" fillId="0" borderId="0" xfId="102" applyFont="1" applyFill="1" applyBorder="1" applyAlignment="1">
      <alignment horizontal="center" vertical="top" wrapText="1"/>
      <protection/>
    </xf>
    <xf numFmtId="0" fontId="11" fillId="0" borderId="43" xfId="102" applyFont="1" applyFill="1" applyBorder="1" applyAlignment="1">
      <alignment horizontal="center"/>
      <protection/>
    </xf>
    <xf numFmtId="0" fontId="10" fillId="0" borderId="0" xfId="102" applyFont="1" applyFill="1" applyBorder="1" applyAlignment="1">
      <alignment horizontal="center" vertical="center"/>
      <protection/>
    </xf>
    <xf numFmtId="0" fontId="0" fillId="0" borderId="43" xfId="102" applyFont="1" applyFill="1" applyBorder="1">
      <alignment/>
      <protection/>
    </xf>
    <xf numFmtId="201" fontId="0" fillId="0" borderId="43" xfId="102" applyNumberFormat="1" applyFont="1" applyFill="1" applyBorder="1">
      <alignment/>
      <protection/>
    </xf>
    <xf numFmtId="0" fontId="66" fillId="0" borderId="30" xfId="103" applyFont="1" applyFill="1" applyBorder="1" applyAlignment="1">
      <alignment wrapText="1"/>
      <protection/>
    </xf>
    <xf numFmtId="0" fontId="66" fillId="0" borderId="30" xfId="103" applyFont="1" applyFill="1" applyBorder="1" applyAlignment="1">
      <alignment horizontal="left" wrapText="1" indent="1"/>
      <protection/>
    </xf>
    <xf numFmtId="0" fontId="66" fillId="0" borderId="50" xfId="103" applyFont="1" applyFill="1" applyBorder="1" applyAlignment="1">
      <alignment wrapText="1"/>
      <protection/>
    </xf>
    <xf numFmtId="0" fontId="66" fillId="0" borderId="50" xfId="103" applyFont="1" applyFill="1" applyBorder="1" applyAlignment="1">
      <alignment horizontal="left" wrapText="1" indent="1"/>
      <protection/>
    </xf>
    <xf numFmtId="0" fontId="66" fillId="0" borderId="30" xfId="103" applyFont="1" applyFill="1" applyBorder="1" applyAlignment="1">
      <alignment horizontal="left" indent="1"/>
      <protection/>
    </xf>
    <xf numFmtId="0" fontId="66" fillId="0" borderId="50" xfId="103" applyFont="1" applyFill="1" applyBorder="1">
      <alignment/>
      <protection/>
    </xf>
    <xf numFmtId="0" fontId="66" fillId="0" borderId="77" xfId="103" applyFont="1" applyFill="1" applyBorder="1" applyAlignment="1">
      <alignment horizontal="left" indent="1"/>
      <protection/>
    </xf>
    <xf numFmtId="0" fontId="0" fillId="0" borderId="43" xfId="103" applyFont="1" applyFill="1" applyBorder="1">
      <alignment/>
      <protection/>
    </xf>
    <xf numFmtId="0" fontId="0" fillId="0" borderId="0" xfId="103" applyFont="1" applyFill="1">
      <alignment/>
      <protection/>
    </xf>
    <xf numFmtId="201" fontId="0" fillId="0" borderId="43" xfId="103" applyNumberFormat="1" applyFont="1" applyFill="1" applyBorder="1">
      <alignment/>
      <protection/>
    </xf>
    <xf numFmtId="0" fontId="0" fillId="0" borderId="0" xfId="96" applyFont="1">
      <alignment/>
      <protection/>
    </xf>
    <xf numFmtId="166" fontId="59" fillId="0" borderId="43" xfId="96" applyNumberFormat="1" applyFont="1" applyFill="1" applyBorder="1" applyAlignment="1">
      <alignment horizontal="right" vertical="center"/>
      <protection/>
    </xf>
    <xf numFmtId="166" fontId="58" fillId="0" borderId="43" xfId="96" applyNumberFormat="1" applyFont="1" applyFill="1" applyBorder="1" applyAlignment="1">
      <alignment horizontal="right" vertical="center"/>
      <protection/>
    </xf>
    <xf numFmtId="0" fontId="58" fillId="0" borderId="43" xfId="96" applyFont="1" applyFill="1" applyBorder="1" applyAlignment="1">
      <alignment horizontal="left" vertical="center" wrapText="1" indent="1"/>
      <protection/>
    </xf>
    <xf numFmtId="4" fontId="58" fillId="0" borderId="43" xfId="96" applyNumberFormat="1" applyFont="1" applyFill="1" applyBorder="1" applyAlignment="1">
      <alignment horizontal="right" vertical="center"/>
      <protection/>
    </xf>
    <xf numFmtId="0" fontId="57" fillId="0" borderId="43" xfId="96" applyFont="1" applyFill="1" applyBorder="1" applyAlignment="1">
      <alignment horizontal="left" vertical="center" wrapText="1"/>
      <protection/>
    </xf>
    <xf numFmtId="0" fontId="57" fillId="0" borderId="43" xfId="96" applyFont="1" applyFill="1" applyBorder="1" applyAlignment="1" quotePrefix="1">
      <alignment horizontal="left" vertical="center" wrapText="1" indent="1"/>
      <protection/>
    </xf>
    <xf numFmtId="0" fontId="58" fillId="0" borderId="43" xfId="96" applyFont="1" applyFill="1" applyBorder="1" applyAlignment="1">
      <alignment horizontal="left" vertical="center" wrapText="1" indent="2"/>
      <protection/>
    </xf>
    <xf numFmtId="166" fontId="11" fillId="0" borderId="0" xfId="96" applyNumberFormat="1" applyFont="1" applyFill="1" applyAlignment="1">
      <alignment horizontal="right" vertical="center"/>
      <protection/>
    </xf>
    <xf numFmtId="0" fontId="0" fillId="0" borderId="0" xfId="96" applyFont="1" applyFill="1">
      <alignment/>
      <protection/>
    </xf>
    <xf numFmtId="0" fontId="11" fillId="0" borderId="0" xfId="96" applyFont="1" applyFill="1" applyAlignment="1">
      <alignment horizontal="left" vertical="center"/>
      <protection/>
    </xf>
    <xf numFmtId="0" fontId="58" fillId="0" borderId="0" xfId="96" applyFont="1" applyFill="1" applyBorder="1" applyAlignment="1">
      <alignment horizontal="left" vertical="center" wrapText="1" indent="1"/>
      <protection/>
    </xf>
    <xf numFmtId="3" fontId="60" fillId="0" borderId="0" xfId="96" applyFont="1" applyFill="1" applyBorder="1" applyAlignment="1">
      <alignment horizontal="left" vertical="center"/>
      <protection/>
    </xf>
    <xf numFmtId="3" fontId="60" fillId="0" borderId="0" xfId="96" applyFont="1" applyFill="1" applyBorder="1" applyAlignment="1">
      <alignment horizontal="right" vertical="center"/>
      <protection/>
    </xf>
    <xf numFmtId="0" fontId="8" fillId="0" borderId="0" xfId="96" applyFont="1" applyFill="1" applyBorder="1" applyAlignment="1">
      <alignment vertical="center"/>
      <protection/>
    </xf>
    <xf numFmtId="166" fontId="60" fillId="0" borderId="0" xfId="96" applyNumberFormat="1" applyFont="1" applyFill="1" applyBorder="1" applyAlignment="1">
      <alignment horizontal="center" vertical="center"/>
      <protection/>
    </xf>
    <xf numFmtId="166" fontId="0" fillId="0" borderId="0" xfId="96" applyNumberFormat="1" applyFont="1" applyFill="1">
      <alignment/>
      <protection/>
    </xf>
    <xf numFmtId="0" fontId="60" fillId="0" borderId="0" xfId="96" applyFont="1" applyFill="1" applyBorder="1">
      <alignment horizontal="left" vertical="center"/>
      <protection/>
    </xf>
    <xf numFmtId="0" fontId="8" fillId="0" borderId="0" xfId="96" applyFont="1" applyFill="1" applyAlignment="1">
      <alignment vertical="center"/>
      <protection/>
    </xf>
    <xf numFmtId="4" fontId="59" fillId="0" borderId="43" xfId="96" applyNumberFormat="1" applyFont="1" applyFill="1" applyBorder="1" applyAlignment="1">
      <alignment horizontal="right" vertical="center"/>
      <protection/>
    </xf>
    <xf numFmtId="4" fontId="11" fillId="0" borderId="43" xfId="96" applyNumberFormat="1" applyFont="1" applyFill="1" applyBorder="1" applyAlignment="1">
      <alignment horizontal="right" vertical="center"/>
      <protection/>
    </xf>
    <xf numFmtId="0" fontId="11" fillId="0" borderId="43" xfId="96" applyFont="1" applyFill="1" applyBorder="1" applyAlignment="1">
      <alignment horizontal="center" vertical="center" wrapText="1"/>
      <protection/>
    </xf>
    <xf numFmtId="0" fontId="58" fillId="0" borderId="43" xfId="96" applyFont="1" applyFill="1" applyBorder="1" applyAlignment="1">
      <alignment horizontal="center" vertical="center" wrapText="1"/>
      <protection/>
    </xf>
    <xf numFmtId="0" fontId="0" fillId="0" borderId="0" xfId="96" applyFont="1" applyFill="1" applyBorder="1">
      <alignment/>
      <protection/>
    </xf>
    <xf numFmtId="0" fontId="11" fillId="0" borderId="43" xfId="96" applyFont="1" applyFill="1" applyBorder="1" applyAlignment="1">
      <alignment horizontal="center" vertical="center"/>
      <protection/>
    </xf>
    <xf numFmtId="0" fontId="4" fillId="0" borderId="0" xfId="96" applyFont="1" applyFill="1" applyBorder="1" applyAlignment="1">
      <alignment horizontal="center" vertical="center" wrapText="1"/>
      <protection/>
    </xf>
    <xf numFmtId="0" fontId="61" fillId="0" borderId="0" xfId="96" applyFont="1" applyFill="1" applyBorder="1" applyAlignment="1">
      <alignment horizontal="center" vertical="center" wrapText="1"/>
      <protection/>
    </xf>
    <xf numFmtId="0" fontId="58" fillId="0" borderId="43" xfId="96" applyFont="1" applyFill="1" applyBorder="1" applyAlignment="1">
      <alignment horizontal="center" vertical="center"/>
      <protection/>
    </xf>
    <xf numFmtId="4" fontId="16" fillId="0" borderId="43" xfId="96" applyNumberFormat="1" applyFont="1" applyFill="1" applyBorder="1" applyAlignment="1">
      <alignment horizontal="right" vertical="center"/>
      <protection/>
    </xf>
    <xf numFmtId="166" fontId="16" fillId="0" borderId="43" xfId="96" applyNumberFormat="1" applyFont="1" applyFill="1" applyBorder="1" applyAlignment="1">
      <alignment horizontal="right" vertical="center"/>
      <protection/>
    </xf>
    <xf numFmtId="4" fontId="59" fillId="0" borderId="43" xfId="96" applyNumberFormat="1" applyFont="1" applyFill="1" applyBorder="1" applyAlignment="1">
      <alignment horizontal="right" vertical="center" wrapText="1"/>
      <protection/>
    </xf>
    <xf numFmtId="166" fontId="11" fillId="0" borderId="43" xfId="96" applyNumberFormat="1" applyFont="1" applyFill="1" applyBorder="1" applyAlignment="1">
      <alignment horizontal="right" vertical="center"/>
      <protection/>
    </xf>
    <xf numFmtId="4" fontId="58" fillId="0" borderId="43" xfId="96" applyNumberFormat="1" applyFont="1" applyFill="1" applyBorder="1" applyAlignment="1">
      <alignment horizontal="right" vertical="center" wrapText="1"/>
      <protection/>
    </xf>
    <xf numFmtId="4" fontId="11" fillId="0" borderId="0" xfId="96" applyNumberFormat="1" applyFont="1" applyFill="1" applyBorder="1" applyAlignment="1">
      <alignment horizontal="right" vertical="center"/>
      <protection/>
    </xf>
    <xf numFmtId="0" fontId="0" fillId="0" borderId="0" xfId="96" applyFont="1" applyFill="1" applyBorder="1" applyAlignment="1">
      <alignment horizontal="center" vertical="center"/>
      <protection/>
    </xf>
    <xf numFmtId="0" fontId="57" fillId="0" borderId="0" xfId="96" applyFont="1" applyFill="1" applyBorder="1">
      <alignment horizontal="left" vertical="center"/>
      <protection/>
    </xf>
    <xf numFmtId="3" fontId="57" fillId="0" borderId="0" xfId="96" applyFont="1" applyFill="1" applyBorder="1">
      <alignment horizontal="right" vertical="center"/>
      <protection/>
    </xf>
    <xf numFmtId="0" fontId="0" fillId="0" borderId="0" xfId="96" applyFont="1" applyFill="1" applyBorder="1" applyAlignment="1">
      <alignment horizontal="center" vertical="top" wrapText="1"/>
      <protection/>
    </xf>
    <xf numFmtId="0" fontId="11" fillId="0" borderId="43" xfId="96" applyFont="1" applyFill="1" applyBorder="1" applyAlignment="1">
      <alignment horizontal="center"/>
      <protection/>
    </xf>
    <xf numFmtId="0" fontId="10" fillId="0" borderId="0" xfId="96" applyFont="1" applyFill="1" applyBorder="1" applyAlignment="1">
      <alignment horizontal="center" vertical="center"/>
      <protection/>
    </xf>
    <xf numFmtId="0" fontId="0" fillId="0" borderId="43" xfId="96" applyFont="1" applyFill="1" applyBorder="1">
      <alignment/>
      <protection/>
    </xf>
    <xf numFmtId="201" fontId="0" fillId="0" borderId="43" xfId="96" applyNumberFormat="1" applyFont="1" applyFill="1" applyBorder="1">
      <alignment/>
      <protection/>
    </xf>
    <xf numFmtId="0" fontId="66" fillId="0" borderId="30" xfId="98" applyFont="1" applyFill="1" applyBorder="1" applyAlignment="1">
      <alignment wrapText="1"/>
      <protection/>
    </xf>
    <xf numFmtId="0" fontId="66" fillId="0" borderId="30" xfId="98" applyFont="1" applyFill="1" applyBorder="1" applyAlignment="1">
      <alignment horizontal="left" wrapText="1" indent="1"/>
      <protection/>
    </xf>
    <xf numFmtId="0" fontId="66" fillId="0" borderId="50" xfId="98" applyFont="1" applyFill="1" applyBorder="1" applyAlignment="1">
      <alignment wrapText="1"/>
      <protection/>
    </xf>
    <xf numFmtId="0" fontId="66" fillId="0" borderId="50" xfId="98" applyFont="1" applyFill="1" applyBorder="1" applyAlignment="1">
      <alignment horizontal="left" wrapText="1" indent="1"/>
      <protection/>
    </xf>
    <xf numFmtId="0" fontId="66" fillId="0" borderId="30" xfId="98" applyFont="1" applyFill="1" applyBorder="1" applyAlignment="1">
      <alignment horizontal="left" indent="1"/>
      <protection/>
    </xf>
    <xf numFmtId="0" fontId="66" fillId="0" borderId="50" xfId="98" applyFont="1" applyFill="1" applyBorder="1">
      <alignment/>
      <protection/>
    </xf>
    <xf numFmtId="0" fontId="66" fillId="0" borderId="77" xfId="98" applyFont="1" applyFill="1" applyBorder="1" applyAlignment="1">
      <alignment horizontal="left" indent="1"/>
      <protection/>
    </xf>
    <xf numFmtId="0" fontId="67" fillId="0" borderId="30" xfId="98" applyFont="1" applyFill="1" applyBorder="1" applyAlignment="1">
      <alignment wrapText="1"/>
      <protection/>
    </xf>
    <xf numFmtId="0" fontId="67" fillId="0" borderId="50" xfId="98" applyFont="1" applyFill="1" applyBorder="1" applyAlignment="1">
      <alignment horizontal="left" wrapText="1" indent="1"/>
      <protection/>
    </xf>
    <xf numFmtId="0" fontId="67" fillId="0" borderId="30" xfId="98" applyFont="1" applyFill="1" applyBorder="1">
      <alignment/>
      <protection/>
    </xf>
    <xf numFmtId="0" fontId="67" fillId="0" borderId="50" xfId="98" applyFont="1" applyFill="1" applyBorder="1" applyAlignment="1">
      <alignment horizontal="left" indent="1"/>
      <protection/>
    </xf>
    <xf numFmtId="0" fontId="67" fillId="0" borderId="51" xfId="98" applyFont="1" applyFill="1" applyBorder="1" applyAlignment="1">
      <alignment horizontal="left" wrapText="1" indent="1"/>
      <protection/>
    </xf>
    <xf numFmtId="4" fontId="65" fillId="0" borderId="43" xfId="109" applyNumberFormat="1" applyFont="1" applyFill="1" applyBorder="1" applyAlignment="1">
      <alignment horizontal="right" vertical="center" wrapText="1"/>
      <protection/>
    </xf>
    <xf numFmtId="0" fontId="0" fillId="0" borderId="43" xfId="98" applyFont="1" applyFill="1" applyBorder="1">
      <alignment/>
      <protection/>
    </xf>
    <xf numFmtId="0" fontId="0" fillId="0" borderId="0" xfId="98" applyFont="1" applyFill="1">
      <alignment/>
      <protection/>
    </xf>
    <xf numFmtId="201" fontId="0" fillId="0" borderId="43" xfId="98" applyNumberFormat="1" applyFont="1" applyFill="1" applyBorder="1">
      <alignment/>
      <protection/>
    </xf>
    <xf numFmtId="0" fontId="0" fillId="0" borderId="0" xfId="105" applyFont="1">
      <alignment/>
      <protection/>
    </xf>
    <xf numFmtId="166" fontId="59" fillId="0" borderId="43" xfId="105" applyNumberFormat="1" applyFont="1" applyFill="1" applyBorder="1" applyAlignment="1">
      <alignment horizontal="right" vertical="center"/>
      <protection/>
    </xf>
    <xf numFmtId="166" fontId="58" fillId="0" borderId="43" xfId="105" applyNumberFormat="1" applyFont="1" applyFill="1" applyBorder="1" applyAlignment="1">
      <alignment horizontal="right" vertical="center"/>
      <protection/>
    </xf>
    <xf numFmtId="0" fontId="0" fillId="0" borderId="0" xfId="105" applyFont="1" applyFill="1">
      <alignment/>
      <protection/>
    </xf>
    <xf numFmtId="166" fontId="11" fillId="0" borderId="0" xfId="105" applyNumberFormat="1" applyFont="1" applyFill="1" applyAlignment="1">
      <alignment horizontal="right" vertical="center"/>
      <protection/>
    </xf>
    <xf numFmtId="0" fontId="58" fillId="0" borderId="43" xfId="105" applyFont="1" applyFill="1" applyBorder="1" applyAlignment="1">
      <alignment horizontal="left" vertical="center" wrapText="1" indent="1"/>
      <protection/>
    </xf>
    <xf numFmtId="4" fontId="58" fillId="0" borderId="43" xfId="105" applyNumberFormat="1" applyFont="1" applyFill="1" applyBorder="1" applyAlignment="1">
      <alignment horizontal="right" vertical="center"/>
      <protection/>
    </xf>
    <xf numFmtId="0" fontId="11" fillId="0" borderId="0" xfId="105" applyFont="1" applyFill="1" applyAlignment="1">
      <alignment horizontal="left" vertical="center"/>
      <protection/>
    </xf>
    <xf numFmtId="0" fontId="58" fillId="0" borderId="0" xfId="105" applyFont="1" applyFill="1" applyBorder="1" applyAlignment="1">
      <alignment horizontal="left" vertical="center" wrapText="1" indent="1"/>
      <protection/>
    </xf>
    <xf numFmtId="3" fontId="60" fillId="0" borderId="0" xfId="105" applyFont="1" applyFill="1" applyBorder="1" applyAlignment="1">
      <alignment horizontal="left" vertical="center"/>
      <protection/>
    </xf>
    <xf numFmtId="3" fontId="60" fillId="0" borderId="0" xfId="105" applyFont="1" applyFill="1" applyBorder="1" applyAlignment="1">
      <alignment horizontal="right" vertical="center"/>
      <protection/>
    </xf>
    <xf numFmtId="0" fontId="8" fillId="0" borderId="0" xfId="105" applyFont="1" applyFill="1" applyBorder="1" applyAlignment="1">
      <alignment vertical="center"/>
      <protection/>
    </xf>
    <xf numFmtId="166" fontId="60" fillId="0" borderId="0" xfId="105" applyNumberFormat="1" applyFont="1" applyFill="1" applyBorder="1" applyAlignment="1">
      <alignment horizontal="center" vertical="center"/>
      <protection/>
    </xf>
    <xf numFmtId="166" fontId="0" fillId="0" borderId="0" xfId="105" applyNumberFormat="1" applyFont="1" applyFill="1">
      <alignment/>
      <protection/>
    </xf>
    <xf numFmtId="0" fontId="60" fillId="0" borderId="0" xfId="105" applyFont="1" applyFill="1" applyBorder="1">
      <alignment horizontal="left" vertical="center"/>
      <protection/>
    </xf>
    <xf numFmtId="0" fontId="8" fillId="0" borderId="0" xfId="105" applyFont="1" applyFill="1" applyAlignment="1">
      <alignment vertical="center"/>
      <protection/>
    </xf>
    <xf numFmtId="0" fontId="58" fillId="0" borderId="43" xfId="105" applyFont="1" applyFill="1" applyBorder="1" applyAlignment="1">
      <alignment horizontal="center" vertical="center" wrapText="1"/>
      <protection/>
    </xf>
    <xf numFmtId="0" fontId="58" fillId="0" borderId="43" xfId="105" applyFont="1" applyFill="1" applyBorder="1" applyAlignment="1">
      <alignment horizontal="center" vertical="center"/>
      <protection/>
    </xf>
    <xf numFmtId="0" fontId="11" fillId="0" borderId="43" xfId="105" applyFont="1" applyFill="1" applyBorder="1" applyAlignment="1">
      <alignment horizontal="center" vertical="center"/>
      <protection/>
    </xf>
    <xf numFmtId="0" fontId="57" fillId="0" borderId="43" xfId="105" applyFont="1" applyFill="1" applyBorder="1" applyAlignment="1">
      <alignment horizontal="left" vertical="center" wrapText="1"/>
      <protection/>
    </xf>
    <xf numFmtId="4" fontId="59" fillId="0" borderId="43" xfId="105" applyNumberFormat="1" applyFont="1" applyFill="1" applyBorder="1" applyAlignment="1">
      <alignment horizontal="right" vertical="center"/>
      <protection/>
    </xf>
    <xf numFmtId="4" fontId="11" fillId="0" borderId="43" xfId="105" applyNumberFormat="1" applyFont="1" applyFill="1" applyBorder="1" applyAlignment="1">
      <alignment horizontal="right" vertical="center"/>
      <protection/>
    </xf>
    <xf numFmtId="0" fontId="58" fillId="0" borderId="43" xfId="105" applyFont="1" applyFill="1" applyBorder="1" applyAlignment="1">
      <alignment horizontal="left" vertical="center" wrapText="1" indent="2"/>
      <protection/>
    </xf>
    <xf numFmtId="0" fontId="11" fillId="0" borderId="43" xfId="105" applyFont="1" applyFill="1" applyBorder="1" applyAlignment="1">
      <alignment horizontal="center" vertical="center" wrapText="1"/>
      <protection/>
    </xf>
    <xf numFmtId="0" fontId="0" fillId="0" borderId="0" xfId="105" applyFont="1" applyFill="1" applyBorder="1">
      <alignment/>
      <protection/>
    </xf>
    <xf numFmtId="0" fontId="4" fillId="0" borderId="0" xfId="105" applyFont="1" applyFill="1" applyBorder="1" applyAlignment="1">
      <alignment horizontal="center" vertical="center" wrapText="1"/>
      <protection/>
    </xf>
    <xf numFmtId="0" fontId="61" fillId="0" borderId="0" xfId="105" applyFont="1" applyFill="1" applyBorder="1" applyAlignment="1">
      <alignment horizontal="center" vertical="center" wrapText="1"/>
      <protection/>
    </xf>
    <xf numFmtId="4" fontId="16" fillId="0" borderId="43" xfId="105" applyNumberFormat="1" applyFont="1" applyFill="1" applyBorder="1" applyAlignment="1">
      <alignment horizontal="right" vertical="center"/>
      <protection/>
    </xf>
    <xf numFmtId="166" fontId="16" fillId="0" borderId="43" xfId="105" applyNumberFormat="1" applyFont="1" applyFill="1" applyBorder="1" applyAlignment="1">
      <alignment horizontal="right" vertical="center"/>
      <protection/>
    </xf>
    <xf numFmtId="4" fontId="59" fillId="0" borderId="43" xfId="105" applyNumberFormat="1" applyFont="1" applyFill="1" applyBorder="1" applyAlignment="1">
      <alignment horizontal="right" vertical="center" wrapText="1"/>
      <protection/>
    </xf>
    <xf numFmtId="166" fontId="11" fillId="0" borderId="43" xfId="105" applyNumberFormat="1" applyFont="1" applyFill="1" applyBorder="1" applyAlignment="1">
      <alignment horizontal="right" vertical="center"/>
      <protection/>
    </xf>
    <xf numFmtId="4" fontId="58" fillId="0" borderId="43" xfId="105" applyNumberFormat="1" applyFont="1" applyFill="1" applyBorder="1" applyAlignment="1">
      <alignment horizontal="right" vertical="center" wrapText="1"/>
      <protection/>
    </xf>
    <xf numFmtId="4" fontId="11" fillId="0" borderId="0" xfId="105" applyNumberFormat="1" applyFont="1" applyFill="1" applyBorder="1" applyAlignment="1">
      <alignment horizontal="right" vertical="center"/>
      <protection/>
    </xf>
    <xf numFmtId="0" fontId="0" fillId="0" borderId="0" xfId="105" applyFont="1" applyFill="1" applyBorder="1" applyAlignment="1">
      <alignment horizontal="center" vertical="center"/>
      <protection/>
    </xf>
    <xf numFmtId="0" fontId="57" fillId="0" borderId="0" xfId="105" applyFont="1" applyFill="1" applyBorder="1">
      <alignment horizontal="left" vertical="center"/>
      <protection/>
    </xf>
    <xf numFmtId="3" fontId="57" fillId="0" borderId="0" xfId="105" applyFont="1" applyFill="1" applyBorder="1">
      <alignment horizontal="right" vertical="center"/>
      <protection/>
    </xf>
    <xf numFmtId="0" fontId="0" fillId="0" borderId="0" xfId="105" applyFont="1" applyFill="1" applyBorder="1" applyAlignment="1">
      <alignment horizontal="center" vertical="top" wrapText="1"/>
      <protection/>
    </xf>
    <xf numFmtId="0" fontId="11" fillId="0" borderId="43" xfId="105" applyFont="1" applyFill="1" applyBorder="1" applyAlignment="1">
      <alignment horizontal="center"/>
      <protection/>
    </xf>
    <xf numFmtId="0" fontId="10" fillId="0" borderId="0" xfId="105" applyFont="1" applyFill="1" applyBorder="1" applyAlignment="1">
      <alignment horizontal="center" vertical="center"/>
      <protection/>
    </xf>
    <xf numFmtId="0" fontId="0" fillId="0" borderId="43" xfId="105" applyFont="1" applyFill="1" applyBorder="1">
      <alignment/>
      <protection/>
    </xf>
    <xf numFmtId="201" fontId="0" fillId="0" borderId="43" xfId="105" applyNumberFormat="1" applyFont="1" applyFill="1" applyBorder="1">
      <alignment/>
      <protection/>
    </xf>
    <xf numFmtId="0" fontId="66" fillId="0" borderId="30" xfId="106" applyFont="1" applyFill="1" applyBorder="1" applyAlignment="1">
      <alignment wrapText="1"/>
      <protection/>
    </xf>
    <xf numFmtId="0" fontId="66" fillId="0" borderId="30" xfId="106" applyFont="1" applyFill="1" applyBorder="1" applyAlignment="1">
      <alignment horizontal="left" wrapText="1" indent="1"/>
      <protection/>
    </xf>
    <xf numFmtId="0" fontId="66" fillId="0" borderId="50" xfId="106" applyFont="1" applyFill="1" applyBorder="1" applyAlignment="1">
      <alignment wrapText="1"/>
      <protection/>
    </xf>
    <xf numFmtId="0" fontId="66" fillId="0" borderId="50" xfId="106" applyFont="1" applyFill="1" applyBorder="1" applyAlignment="1">
      <alignment horizontal="left" wrapText="1" indent="1"/>
      <protection/>
    </xf>
    <xf numFmtId="0" fontId="66" fillId="0" borderId="30" xfId="106" applyFont="1" applyFill="1" applyBorder="1" applyAlignment="1">
      <alignment horizontal="left" indent="1"/>
      <protection/>
    </xf>
    <xf numFmtId="0" fontId="66" fillId="0" borderId="50" xfId="106" applyFont="1" applyFill="1" applyBorder="1">
      <alignment/>
      <protection/>
    </xf>
    <xf numFmtId="0" fontId="66" fillId="0" borderId="77" xfId="106" applyFont="1" applyFill="1" applyBorder="1" applyAlignment="1">
      <alignment horizontal="left" indent="1"/>
      <protection/>
    </xf>
    <xf numFmtId="0" fontId="0" fillId="0" borderId="43" xfId="106" applyFont="1" applyFill="1" applyBorder="1">
      <alignment/>
      <protection/>
    </xf>
    <xf numFmtId="0" fontId="0" fillId="0" borderId="0" xfId="106" applyFont="1" applyFill="1">
      <alignment/>
      <protection/>
    </xf>
    <xf numFmtId="201" fontId="0" fillId="0" borderId="43" xfId="106" applyNumberFormat="1" applyFont="1" applyFill="1" applyBorder="1">
      <alignment/>
      <protection/>
    </xf>
    <xf numFmtId="0" fontId="57" fillId="0" borderId="0" xfId="94" applyFont="1" applyFill="1" applyBorder="1" applyAlignment="1">
      <alignment horizontal="left" vertical="center" wrapText="1"/>
      <protection/>
    </xf>
    <xf numFmtId="4" fontId="59" fillId="0" borderId="0" xfId="94" applyNumberFormat="1" applyFont="1" applyFill="1" applyBorder="1" applyAlignment="1">
      <alignment horizontal="right" vertical="center" wrapText="1"/>
      <protection/>
    </xf>
    <xf numFmtId="0" fontId="54" fillId="0" borderId="0" xfId="108" applyFont="1">
      <alignment/>
      <protection/>
    </xf>
    <xf numFmtId="0" fontId="54" fillId="0" borderId="30" xfId="98" applyFont="1" applyFill="1" applyBorder="1" applyAlignment="1">
      <alignment wrapText="1"/>
      <protection/>
    </xf>
    <xf numFmtId="0" fontId="0" fillId="0" borderId="0" xfId="109" applyFont="1" applyFill="1" applyAlignment="1">
      <alignment horizontal="center" vertical="center" wrapText="1"/>
      <protection/>
    </xf>
    <xf numFmtId="0" fontId="1" fillId="0" borderId="0" xfId="108" applyFont="1">
      <alignment/>
      <protection/>
    </xf>
    <xf numFmtId="203" fontId="56" fillId="0" borderId="0" xfId="69" applyNumberFormat="1" applyFont="1" applyFill="1" applyAlignment="1">
      <alignment horizontal="center" vertical="center" wrapText="1"/>
    </xf>
    <xf numFmtId="203" fontId="8" fillId="0" borderId="0" xfId="69" applyNumberFormat="1" applyFont="1" applyAlignment="1">
      <alignment/>
    </xf>
    <xf numFmtId="203" fontId="1" fillId="0" borderId="0" xfId="69" applyNumberFormat="1" applyAlignment="1">
      <alignment/>
    </xf>
    <xf numFmtId="203" fontId="8" fillId="0" borderId="0" xfId="108" applyNumberFormat="1" applyFont="1">
      <alignment/>
      <protection/>
    </xf>
    <xf numFmtId="203" fontId="1" fillId="0" borderId="0" xfId="108" applyNumberFormat="1" applyFont="1">
      <alignment/>
      <protection/>
    </xf>
    <xf numFmtId="4" fontId="11" fillId="0" borderId="0" xfId="99" applyNumberFormat="1" applyFont="1" applyFill="1" applyBorder="1" applyAlignment="1">
      <alignment horizontal="right" vertical="center"/>
      <protection/>
    </xf>
    <xf numFmtId="0" fontId="0" fillId="0" borderId="0" xfId="99" applyFont="1" applyFill="1" applyBorder="1" applyAlignment="1">
      <alignment horizontal="center" vertical="center"/>
      <protection/>
    </xf>
    <xf numFmtId="0" fontId="0" fillId="0" borderId="43" xfId="98" applyFont="1" applyBorder="1">
      <alignment/>
      <protection/>
    </xf>
    <xf numFmtId="0" fontId="0" fillId="0" borderId="0" xfId="98" applyFont="1">
      <alignment/>
      <protection/>
    </xf>
    <xf numFmtId="201" fontId="0" fillId="0" borderId="43" xfId="98" applyNumberFormat="1" applyFont="1" applyBorder="1">
      <alignment/>
      <protection/>
    </xf>
    <xf numFmtId="0" fontId="0" fillId="0" borderId="0" xfId="111" applyFont="1">
      <alignment/>
      <protection/>
    </xf>
    <xf numFmtId="166" fontId="59" fillId="0" borderId="43" xfId="111" applyNumberFormat="1" applyFont="1" applyFill="1" applyBorder="1" applyAlignment="1">
      <alignment horizontal="right" vertical="center"/>
      <protection/>
    </xf>
    <xf numFmtId="166" fontId="58" fillId="0" borderId="43" xfId="111" applyNumberFormat="1" applyFont="1" applyFill="1" applyBorder="1" applyAlignment="1">
      <alignment horizontal="right" vertical="center"/>
      <protection/>
    </xf>
    <xf numFmtId="0" fontId="11" fillId="0" borderId="0" xfId="111" applyFont="1" applyFill="1" applyAlignment="1">
      <alignment horizontal="left" vertical="center"/>
      <protection/>
    </xf>
    <xf numFmtId="0" fontId="58" fillId="0" borderId="0" xfId="111" applyFont="1" applyFill="1" applyBorder="1" applyAlignment="1">
      <alignment horizontal="left" vertical="center" wrapText="1" indent="1"/>
      <protection/>
    </xf>
    <xf numFmtId="3" fontId="60" fillId="0" borderId="0" xfId="111" applyFont="1" applyFill="1" applyBorder="1" applyAlignment="1">
      <alignment horizontal="left" vertical="center"/>
      <protection/>
    </xf>
    <xf numFmtId="3" fontId="60" fillId="0" borderId="0" xfId="111" applyFont="1" applyFill="1" applyBorder="1" applyAlignment="1">
      <alignment horizontal="right" vertical="center"/>
      <protection/>
    </xf>
    <xf numFmtId="0" fontId="8" fillId="0" borderId="0" xfId="111" applyFont="1" applyFill="1" applyBorder="1" applyAlignment="1">
      <alignment vertical="center"/>
      <protection/>
    </xf>
    <xf numFmtId="166" fontId="60" fillId="0" borderId="0" xfId="111" applyNumberFormat="1" applyFont="1" applyFill="1" applyBorder="1" applyAlignment="1">
      <alignment horizontal="center" vertical="center"/>
      <protection/>
    </xf>
    <xf numFmtId="166" fontId="0" fillId="0" borderId="0" xfId="111" applyNumberFormat="1" applyFont="1" applyFill="1">
      <alignment/>
      <protection/>
    </xf>
    <xf numFmtId="0" fontId="0" fillId="0" borderId="0" xfId="111" applyFont="1" applyFill="1">
      <alignment/>
      <protection/>
    </xf>
    <xf numFmtId="0" fontId="60" fillId="0" borderId="0" xfId="111" applyFont="1" applyFill="1" applyBorder="1">
      <alignment horizontal="left" vertical="center"/>
      <protection/>
    </xf>
    <xf numFmtId="0" fontId="8" fillId="0" borderId="0" xfId="111" applyFont="1" applyFill="1" applyAlignment="1">
      <alignment vertical="center"/>
      <protection/>
    </xf>
    <xf numFmtId="0" fontId="0" fillId="0" borderId="0" xfId="111" applyFont="1" applyBorder="1">
      <alignment/>
      <protection/>
    </xf>
    <xf numFmtId="0" fontId="61" fillId="0" borderId="0" xfId="111" applyFont="1" applyBorder="1" applyAlignment="1">
      <alignment horizontal="center" vertical="center" wrapText="1"/>
      <protection/>
    </xf>
    <xf numFmtId="0" fontId="58" fillId="0" borderId="43" xfId="111" applyFont="1" applyFill="1" applyBorder="1" applyAlignment="1">
      <alignment horizontal="center" vertical="center" wrapText="1"/>
      <protection/>
    </xf>
    <xf numFmtId="0" fontId="58" fillId="0" borderId="43" xfId="111" applyFont="1" applyFill="1" applyBorder="1" applyAlignment="1">
      <alignment horizontal="center" vertical="center"/>
      <protection/>
    </xf>
    <xf numFmtId="0" fontId="11" fillId="0" borderId="43" xfId="111" applyFont="1" applyFill="1" applyBorder="1" applyAlignment="1">
      <alignment horizontal="center" vertical="center"/>
      <protection/>
    </xf>
    <xf numFmtId="0" fontId="57" fillId="0" borderId="43" xfId="111" applyFont="1" applyFill="1" applyBorder="1" applyAlignment="1">
      <alignment horizontal="left" vertical="center" wrapText="1"/>
      <protection/>
    </xf>
    <xf numFmtId="4" fontId="59" fillId="0" borderId="43" xfId="111" applyNumberFormat="1" applyFont="1" applyFill="1" applyBorder="1" applyAlignment="1">
      <alignment horizontal="right" vertical="center"/>
      <protection/>
    </xf>
    <xf numFmtId="0" fontId="58" fillId="0" borderId="43" xfId="111" applyFont="1" applyFill="1" applyBorder="1" applyAlignment="1">
      <alignment horizontal="left" vertical="center" wrapText="1" indent="1"/>
      <protection/>
    </xf>
    <xf numFmtId="4" fontId="58" fillId="0" borderId="43" xfId="111" applyNumberFormat="1" applyFont="1" applyFill="1" applyBorder="1" applyAlignment="1">
      <alignment horizontal="right" vertical="center"/>
      <protection/>
    </xf>
    <xf numFmtId="4" fontId="11" fillId="0" borderId="43" xfId="111" applyNumberFormat="1" applyFont="1" applyFill="1" applyBorder="1" applyAlignment="1">
      <alignment horizontal="right" vertical="center"/>
      <protection/>
    </xf>
    <xf numFmtId="166" fontId="11" fillId="0" borderId="0" xfId="111" applyNumberFormat="1" applyFont="1" applyFill="1" applyAlignment="1">
      <alignment horizontal="right" vertical="center"/>
      <protection/>
    </xf>
    <xf numFmtId="0" fontId="58" fillId="0" borderId="43" xfId="111" applyFont="1" applyFill="1" applyBorder="1" applyAlignment="1">
      <alignment horizontal="left" vertical="center" wrapText="1" indent="2"/>
      <protection/>
    </xf>
    <xf numFmtId="0" fontId="11" fillId="0" borderId="43" xfId="111" applyFont="1" applyFill="1" applyBorder="1" applyAlignment="1">
      <alignment horizontal="center" vertical="center" wrapText="1"/>
      <protection/>
    </xf>
    <xf numFmtId="0" fontId="4" fillId="0" borderId="0" xfId="111" applyFont="1" applyFill="1" applyBorder="1" applyAlignment="1">
      <alignment horizontal="center" vertical="center" wrapText="1"/>
      <protection/>
    </xf>
    <xf numFmtId="4" fontId="16" fillId="0" borderId="43" xfId="111" applyNumberFormat="1" applyFont="1" applyFill="1" applyBorder="1" applyAlignment="1">
      <alignment horizontal="right" vertical="center"/>
      <protection/>
    </xf>
    <xf numFmtId="166" fontId="16" fillId="0" borderId="43" xfId="111" applyNumberFormat="1" applyFont="1" applyFill="1" applyBorder="1" applyAlignment="1">
      <alignment horizontal="right" vertical="center"/>
      <protection/>
    </xf>
    <xf numFmtId="4" fontId="59" fillId="0" borderId="43" xfId="111" applyNumberFormat="1" applyFont="1" applyFill="1" applyBorder="1" applyAlignment="1">
      <alignment horizontal="right" vertical="center" wrapText="1"/>
      <protection/>
    </xf>
    <xf numFmtId="166" fontId="11" fillId="0" borderId="43" xfId="111" applyNumberFormat="1" applyFont="1" applyFill="1" applyBorder="1" applyAlignment="1">
      <alignment horizontal="right" vertical="center"/>
      <protection/>
    </xf>
    <xf numFmtId="4" fontId="58" fillId="0" borderId="43" xfId="111" applyNumberFormat="1" applyFont="1" applyFill="1" applyBorder="1" applyAlignment="1">
      <alignment horizontal="right" vertical="center" wrapText="1"/>
      <protection/>
    </xf>
    <xf numFmtId="4" fontId="11" fillId="0" borderId="0" xfId="111" applyNumberFormat="1" applyFont="1" applyFill="1" applyBorder="1" applyAlignment="1">
      <alignment horizontal="right" vertical="center"/>
      <protection/>
    </xf>
    <xf numFmtId="0" fontId="0" fillId="0" borderId="0" xfId="111" applyFont="1" applyFill="1" applyBorder="1" applyAlignment="1">
      <alignment horizontal="center" vertical="center"/>
      <protection/>
    </xf>
    <xf numFmtId="0" fontId="57" fillId="0" borderId="0" xfId="111" applyFont="1" applyFill="1" applyBorder="1">
      <alignment horizontal="left" vertical="center"/>
      <protection/>
    </xf>
    <xf numFmtId="3" fontId="57" fillId="0" borderId="0" xfId="111" applyFont="1" applyFill="1" applyBorder="1">
      <alignment horizontal="right" vertical="center"/>
      <protection/>
    </xf>
    <xf numFmtId="0" fontId="0" fillId="0" borderId="0" xfId="111" applyFont="1" applyFill="1" applyBorder="1">
      <alignment/>
      <protection/>
    </xf>
    <xf numFmtId="0" fontId="0" fillId="0" borderId="0" xfId="111" applyFont="1" applyFill="1" applyBorder="1" applyAlignment="1">
      <alignment horizontal="center" vertical="top" wrapText="1"/>
      <protection/>
    </xf>
    <xf numFmtId="0" fontId="11" fillId="0" borderId="43" xfId="111" applyFont="1" applyFill="1" applyBorder="1" applyAlignment="1">
      <alignment horizontal="center"/>
      <protection/>
    </xf>
    <xf numFmtId="0" fontId="10" fillId="0" borderId="0" xfId="111" applyFont="1" applyFill="1" applyBorder="1" applyAlignment="1">
      <alignment horizontal="center" vertical="center"/>
      <protection/>
    </xf>
    <xf numFmtId="0" fontId="0" fillId="0" borderId="43" xfId="111" applyFont="1" applyFill="1" applyBorder="1">
      <alignment/>
      <protection/>
    </xf>
    <xf numFmtId="201" fontId="0" fillId="0" borderId="43" xfId="111" applyNumberFormat="1" applyFont="1" applyFill="1" applyBorder="1">
      <alignment/>
      <protection/>
    </xf>
    <xf numFmtId="0" fontId="66" fillId="0" borderId="30" xfId="112" applyFont="1" applyFill="1" applyBorder="1" applyAlignment="1">
      <alignment wrapText="1"/>
      <protection/>
    </xf>
    <xf numFmtId="0" fontId="66" fillId="0" borderId="30" xfId="112" applyFont="1" applyFill="1" applyBorder="1" applyAlignment="1">
      <alignment horizontal="left" wrapText="1" indent="1"/>
      <protection/>
    </xf>
    <xf numFmtId="0" fontId="66" fillId="0" borderId="50" xfId="112" applyFont="1" applyFill="1" applyBorder="1" applyAlignment="1">
      <alignment wrapText="1"/>
      <protection/>
    </xf>
    <xf numFmtId="0" fontId="66" fillId="0" borderId="50" xfId="112" applyFont="1" applyFill="1" applyBorder="1" applyAlignment="1">
      <alignment horizontal="left" wrapText="1" indent="1"/>
      <protection/>
    </xf>
    <xf numFmtId="0" fontId="66" fillId="0" borderId="30" xfId="112" applyFont="1" applyFill="1" applyBorder="1" applyAlignment="1">
      <alignment horizontal="left" indent="1"/>
      <protection/>
    </xf>
    <xf numFmtId="0" fontId="66" fillId="0" borderId="50" xfId="112" applyFont="1" applyFill="1" applyBorder="1">
      <alignment/>
      <protection/>
    </xf>
    <xf numFmtId="0" fontId="66" fillId="0" borderId="77" xfId="112" applyFont="1" applyFill="1" applyBorder="1" applyAlignment="1">
      <alignment horizontal="left" indent="1"/>
      <protection/>
    </xf>
    <xf numFmtId="0" fontId="0" fillId="0" borderId="43" xfId="112" applyFont="1" applyFill="1" applyBorder="1">
      <alignment/>
      <protection/>
    </xf>
    <xf numFmtId="0" fontId="0" fillId="0" borderId="0" xfId="112" applyFont="1" applyFill="1">
      <alignment/>
      <protection/>
    </xf>
    <xf numFmtId="201" fontId="0" fillId="0" borderId="43" xfId="112" applyNumberFormat="1" applyFont="1" applyFill="1" applyBorder="1">
      <alignment/>
      <protection/>
    </xf>
    <xf numFmtId="0" fontId="16" fillId="0" borderId="0" xfId="109" applyFont="1" applyFill="1" applyBorder="1" applyAlignment="1">
      <alignment horizontal="center" vertical="center" wrapText="1"/>
      <protection/>
    </xf>
    <xf numFmtId="0" fontId="16" fillId="0" borderId="78" xfId="109" applyFont="1" applyFill="1" applyBorder="1" applyAlignment="1">
      <alignment horizontal="center" vertical="center" wrapText="1"/>
      <protection/>
    </xf>
    <xf numFmtId="0" fontId="11" fillId="0" borderId="59" xfId="109" applyFont="1" applyFill="1" applyBorder="1" applyAlignment="1">
      <alignment horizontal="center" vertical="center" wrapText="1"/>
      <protection/>
    </xf>
    <xf numFmtId="0" fontId="11" fillId="0" borderId="22" xfId="109" applyFont="1" applyFill="1" applyBorder="1" applyAlignment="1">
      <alignment horizontal="center" vertical="center" wrapText="1"/>
      <protection/>
    </xf>
    <xf numFmtId="0" fontId="11" fillId="0" borderId="23" xfId="109" applyFont="1" applyFill="1" applyBorder="1" applyAlignment="1">
      <alignment horizontal="left" vertical="center" wrapText="1"/>
      <protection/>
    </xf>
    <xf numFmtId="0" fontId="11" fillId="0" borderId="59" xfId="109" applyFont="1" applyFill="1" applyBorder="1" applyAlignment="1">
      <alignment horizontal="left" vertical="center" wrapText="1"/>
      <protection/>
    </xf>
    <xf numFmtId="0" fontId="11" fillId="0" borderId="22" xfId="109" applyFont="1" applyFill="1" applyBorder="1" applyAlignment="1">
      <alignment horizontal="left" vertical="center" wrapText="1"/>
      <protection/>
    </xf>
    <xf numFmtId="0" fontId="16" fillId="0" borderId="26" xfId="109" applyFont="1" applyFill="1" applyBorder="1" applyAlignment="1">
      <alignment horizontal="center" vertical="center" wrapText="1"/>
      <protection/>
    </xf>
    <xf numFmtId="0" fontId="16" fillId="0" borderId="66" xfId="109" applyFont="1" applyFill="1" applyBorder="1" applyAlignment="1">
      <alignment horizontal="center" vertical="center" wrapText="1"/>
      <protection/>
    </xf>
    <xf numFmtId="0" fontId="16" fillId="0" borderId="25" xfId="109" applyFont="1" applyFill="1" applyBorder="1" applyAlignment="1">
      <alignment horizontal="center" vertical="center" wrapText="1"/>
      <protection/>
    </xf>
    <xf numFmtId="0" fontId="16" fillId="0" borderId="79" xfId="109" applyFont="1" applyFill="1" applyBorder="1" applyAlignment="1">
      <alignment horizontal="center" vertical="center" wrapText="1"/>
      <protection/>
    </xf>
    <xf numFmtId="4" fontId="66" fillId="0" borderId="22" xfId="109" applyNumberFormat="1" applyFont="1" applyFill="1" applyBorder="1" applyAlignment="1">
      <alignment horizontal="right" vertical="center" wrapText="1"/>
      <protection/>
    </xf>
    <xf numFmtId="0" fontId="11" fillId="0" borderId="23" xfId="109" applyFont="1" applyFill="1" applyBorder="1" applyAlignment="1">
      <alignment horizontal="center" vertical="center" wrapText="1"/>
      <protection/>
    </xf>
    <xf numFmtId="0" fontId="66" fillId="0" borderId="23" xfId="109" applyFont="1" applyFill="1" applyBorder="1" applyAlignment="1">
      <alignment horizontal="center" vertical="center" wrapText="1"/>
      <protection/>
    </xf>
    <xf numFmtId="0" fontId="66" fillId="0" borderId="59" xfId="109" applyFont="1" applyFill="1" applyBorder="1" applyAlignment="1">
      <alignment horizontal="center" vertical="center" wrapText="1"/>
      <protection/>
    </xf>
    <xf numFmtId="0" fontId="66" fillId="0" borderId="22" xfId="109" applyFont="1" applyFill="1" applyBorder="1" applyAlignment="1">
      <alignment horizontal="center" vertical="center" wrapText="1"/>
      <protection/>
    </xf>
    <xf numFmtId="3" fontId="66" fillId="0" borderId="23" xfId="109" applyNumberFormat="1" applyFont="1" applyFill="1" applyBorder="1" applyAlignment="1">
      <alignment horizontal="right" vertical="center" wrapText="1"/>
      <protection/>
    </xf>
    <xf numFmtId="3" fontId="66" fillId="0" borderId="22" xfId="109" applyNumberFormat="1" applyFont="1" applyFill="1" applyBorder="1" applyAlignment="1">
      <alignment horizontal="right" vertical="center" wrapText="1"/>
      <protection/>
    </xf>
    <xf numFmtId="4" fontId="66" fillId="0" borderId="23" xfId="109" applyNumberFormat="1" applyFont="1" applyFill="1" applyBorder="1" applyAlignment="1">
      <alignment horizontal="right" vertical="center" wrapText="1"/>
      <protection/>
    </xf>
    <xf numFmtId="0" fontId="66" fillId="0" borderId="80" xfId="109" applyFont="1" applyFill="1" applyBorder="1" applyAlignment="1">
      <alignment horizontal="center" vertical="center" wrapText="1"/>
      <protection/>
    </xf>
    <xf numFmtId="0" fontId="66" fillId="0" borderId="43" xfId="109" applyFont="1" applyFill="1" applyBorder="1" applyAlignment="1">
      <alignment horizontal="center" vertical="center" wrapText="1"/>
      <protection/>
    </xf>
    <xf numFmtId="0" fontId="66" fillId="0" borderId="81" xfId="109" applyFont="1" applyFill="1" applyBorder="1" applyAlignment="1">
      <alignment horizontal="center" vertical="center" wrapText="1"/>
      <protection/>
    </xf>
    <xf numFmtId="0" fontId="56" fillId="0" borderId="0" xfId="109" applyFont="1" applyFill="1" applyAlignment="1">
      <alignment horizontal="center" vertical="center" wrapText="1"/>
      <protection/>
    </xf>
    <xf numFmtId="0" fontId="64" fillId="0" borderId="0" xfId="109" applyFont="1" applyFill="1" applyBorder="1" applyAlignment="1">
      <alignment horizontal="center" vertical="center" wrapText="1"/>
      <protection/>
    </xf>
    <xf numFmtId="0" fontId="63" fillId="0" borderId="0" xfId="109" applyFont="1" applyFill="1" applyAlignment="1">
      <alignment horizontal="left" vertical="center" wrapText="1"/>
      <protection/>
    </xf>
    <xf numFmtId="0" fontId="66" fillId="0" borderId="82" xfId="109" applyFont="1" applyFill="1" applyBorder="1" applyAlignment="1">
      <alignment horizontal="center" vertical="center" wrapText="1"/>
      <protection/>
    </xf>
    <xf numFmtId="0" fontId="65" fillId="0" borderId="82" xfId="109" applyFont="1" applyFill="1" applyBorder="1" applyAlignment="1">
      <alignment horizontal="center" vertical="center" wrapText="1"/>
      <protection/>
    </xf>
    <xf numFmtId="0" fontId="65" fillId="0" borderId="81" xfId="109" applyFont="1" applyFill="1" applyBorder="1" applyAlignment="1">
      <alignment horizontal="center" vertical="center" wrapText="1"/>
      <protection/>
    </xf>
    <xf numFmtId="0" fontId="65" fillId="0" borderId="80" xfId="109" applyFont="1" applyFill="1" applyBorder="1" applyAlignment="1">
      <alignment horizontal="center" vertical="center" wrapText="1"/>
      <protection/>
    </xf>
    <xf numFmtId="4" fontId="16" fillId="0" borderId="23" xfId="99" applyNumberFormat="1" applyFont="1" applyFill="1" applyBorder="1" applyAlignment="1">
      <alignment horizontal="right" vertical="center"/>
      <protection/>
    </xf>
    <xf numFmtId="4" fontId="16" fillId="0" borderId="22" xfId="99" applyNumberFormat="1" applyFont="1" applyFill="1" applyBorder="1" applyAlignment="1">
      <alignment horizontal="right" vertical="center"/>
      <protection/>
    </xf>
    <xf numFmtId="0" fontId="11" fillId="0" borderId="43" xfId="99" applyNumberFormat="1" applyFont="1" applyFill="1" applyBorder="1" applyAlignment="1">
      <alignment horizontal="center" vertical="center" wrapText="1"/>
      <protection/>
    </xf>
    <xf numFmtId="0" fontId="11" fillId="0" borderId="43" xfId="99" applyFont="1" applyFill="1" applyBorder="1" applyAlignment="1">
      <alignment horizontal="center"/>
      <protection/>
    </xf>
    <xf numFmtId="0" fontId="9" fillId="0" borderId="43" xfId="99" applyFont="1" applyFill="1" applyBorder="1" applyAlignment="1">
      <alignment horizontal="center" vertical="center" wrapText="1"/>
      <protection/>
    </xf>
    <xf numFmtId="0" fontId="58" fillId="0" borderId="43" xfId="99" applyFont="1" applyFill="1" applyBorder="1" applyAlignment="1">
      <alignment horizontal="center" vertical="center"/>
      <protection/>
    </xf>
    <xf numFmtId="0" fontId="11" fillId="0" borderId="43" xfId="109" applyFont="1" applyFill="1" applyBorder="1" applyAlignment="1">
      <alignment horizontal="center" vertical="center" wrapText="1"/>
      <protection/>
    </xf>
    <xf numFmtId="0" fontId="0" fillId="0" borderId="43" xfId="109" applyNumberFormat="1" applyFont="1" applyFill="1" applyBorder="1" applyAlignment="1">
      <alignment horizontal="center" vertical="center" wrapText="1"/>
      <protection/>
    </xf>
    <xf numFmtId="0" fontId="66" fillId="0" borderId="79" xfId="109" applyFont="1" applyFill="1" applyBorder="1" applyAlignment="1">
      <alignment horizontal="center" vertical="center" wrapText="1"/>
      <protection/>
    </xf>
    <xf numFmtId="0" fontId="66" fillId="0" borderId="18" xfId="109" applyFont="1" applyFill="1" applyBorder="1" applyAlignment="1">
      <alignment horizontal="center" vertical="center" wrapText="1"/>
      <protection/>
    </xf>
    <xf numFmtId="4" fontId="11" fillId="0" borderId="22" xfId="99" applyNumberFormat="1" applyFont="1" applyFill="1" applyBorder="1" applyAlignment="1">
      <alignment horizontal="right" vertical="center"/>
      <protection/>
    </xf>
    <xf numFmtId="0" fontId="11" fillId="0" borderId="43" xfId="99" applyFont="1" applyFill="1" applyBorder="1" applyAlignment="1">
      <alignment horizontal="left" vertical="center" wrapText="1"/>
      <protection/>
    </xf>
    <xf numFmtId="0" fontId="11" fillId="0" borderId="43" xfId="99" applyFont="1" applyFill="1" applyBorder="1" applyAlignment="1">
      <alignment horizontal="left" vertical="center" wrapText="1" indent="1"/>
      <protection/>
    </xf>
    <xf numFmtId="0" fontId="9" fillId="0" borderId="43" xfId="99" applyFont="1" applyFill="1" applyBorder="1" applyAlignment="1">
      <alignment horizontal="left" vertical="center" wrapText="1"/>
      <protection/>
    </xf>
    <xf numFmtId="0" fontId="9" fillId="0" borderId="43" xfId="99" applyFont="1" applyFill="1" applyBorder="1" applyAlignment="1">
      <alignment horizontal="left" vertical="center"/>
      <protection/>
    </xf>
    <xf numFmtId="0" fontId="7" fillId="0" borderId="69" xfId="108" applyFont="1" applyBorder="1" applyAlignment="1" quotePrefix="1">
      <alignment horizontal="center" vertical="center"/>
      <protection/>
    </xf>
    <xf numFmtId="0" fontId="7" fillId="0" borderId="0" xfId="108" applyFont="1" applyBorder="1" applyAlignment="1">
      <alignment horizontal="center" vertical="center" wrapText="1"/>
      <protection/>
    </xf>
    <xf numFmtId="0" fontId="11" fillId="0" borderId="43" xfId="99" applyFont="1" applyFill="1" applyBorder="1" applyAlignment="1">
      <alignment horizontal="center" vertical="center"/>
      <protection/>
    </xf>
    <xf numFmtId="0" fontId="11" fillId="0" borderId="43" xfId="99" applyFont="1" applyFill="1" applyBorder="1" applyAlignment="1">
      <alignment horizontal="center" vertical="top" wrapText="1"/>
      <protection/>
    </xf>
    <xf numFmtId="4" fontId="58" fillId="0" borderId="43" xfId="99" applyNumberFormat="1" applyFont="1" applyFill="1" applyBorder="1" applyAlignment="1">
      <alignment horizontal="right" vertical="center"/>
      <protection/>
    </xf>
    <xf numFmtId="4" fontId="58" fillId="0" borderId="43" xfId="99" applyNumberFormat="1" applyFont="1" applyFill="1" applyBorder="1" applyAlignment="1">
      <alignment horizontal="right" vertical="center" wrapText="1"/>
      <protection/>
    </xf>
    <xf numFmtId="4" fontId="59" fillId="0" borderId="43" xfId="99" applyNumberFormat="1" applyFont="1" applyFill="1" applyBorder="1" applyAlignment="1">
      <alignment horizontal="right" vertical="center" wrapText="1"/>
      <protection/>
    </xf>
    <xf numFmtId="4" fontId="16" fillId="0" borderId="43" xfId="99" applyNumberFormat="1" applyFont="1" applyFill="1" applyBorder="1" applyAlignment="1">
      <alignment horizontal="right" vertical="center"/>
      <protection/>
    </xf>
    <xf numFmtId="0" fontId="56" fillId="0" borderId="0" xfId="99" applyFont="1" applyFill="1" applyAlignment="1">
      <alignment horizontal="center" vertical="center"/>
      <protection/>
    </xf>
    <xf numFmtId="0" fontId="11" fillId="0" borderId="43" xfId="99" applyFont="1" applyFill="1" applyBorder="1" applyAlignment="1">
      <alignment horizontal="center" vertical="center" wrapText="1"/>
      <protection/>
    </xf>
    <xf numFmtId="0" fontId="11" fillId="0" borderId="23" xfId="99" applyFont="1" applyFill="1" applyBorder="1" applyAlignment="1">
      <alignment horizontal="center" vertical="center" wrapText="1"/>
      <protection/>
    </xf>
    <xf numFmtId="0" fontId="11" fillId="0" borderId="22" xfId="99" applyFont="1" applyFill="1" applyBorder="1" applyAlignment="1">
      <alignment horizontal="center" vertical="center"/>
      <protection/>
    </xf>
    <xf numFmtId="0" fontId="58" fillId="0" borderId="43" xfId="99" applyFont="1" applyFill="1" applyBorder="1" applyAlignment="1">
      <alignment horizontal="center" vertical="center" wrapText="1"/>
      <protection/>
    </xf>
    <xf numFmtId="0" fontId="57" fillId="0" borderId="43" xfId="99" applyFont="1" applyFill="1" applyBorder="1" applyAlignment="1">
      <alignment horizontal="center" vertical="center"/>
      <protection/>
    </xf>
    <xf numFmtId="4" fontId="11" fillId="0" borderId="23" xfId="99" applyNumberFormat="1" applyFont="1" applyFill="1" applyBorder="1" applyAlignment="1">
      <alignment horizontal="right" vertical="center"/>
      <protection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justify"/>
    </xf>
    <xf numFmtId="0" fontId="51" fillId="0" borderId="4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7" fillId="0" borderId="47" xfId="108" applyFont="1" applyBorder="1" applyAlignment="1">
      <alignment horizontal="center" vertical="center" wrapText="1"/>
      <protection/>
    </xf>
    <xf numFmtId="0" fontId="7" fillId="0" borderId="48" xfId="108" applyFont="1" applyBorder="1" applyAlignment="1">
      <alignment horizontal="center" vertical="center" wrapText="1"/>
      <protection/>
    </xf>
    <xf numFmtId="0" fontId="7" fillId="0" borderId="37" xfId="108" applyFont="1" applyBorder="1" applyAlignment="1">
      <alignment horizontal="center"/>
      <protection/>
    </xf>
    <xf numFmtId="0" fontId="7" fillId="0" borderId="69" xfId="108" applyFont="1" applyBorder="1" applyAlignment="1">
      <alignment horizontal="center"/>
      <protection/>
    </xf>
    <xf numFmtId="0" fontId="7" fillId="0" borderId="12" xfId="108" applyFont="1" applyBorder="1" applyAlignment="1">
      <alignment horizontal="center"/>
      <protection/>
    </xf>
    <xf numFmtId="0" fontId="7" fillId="0" borderId="13" xfId="108" applyFont="1" applyBorder="1" applyAlignment="1">
      <alignment horizontal="center"/>
      <protection/>
    </xf>
    <xf numFmtId="0" fontId="14" fillId="0" borderId="0" xfId="108" applyFont="1" applyAlignment="1">
      <alignment horizontal="center"/>
      <protection/>
    </xf>
    <xf numFmtId="0" fontId="7" fillId="0" borderId="49" xfId="108" applyFont="1" applyBorder="1" applyAlignment="1">
      <alignment horizontal="center" vertical="center" wrapText="1"/>
      <protection/>
    </xf>
    <xf numFmtId="0" fontId="7" fillId="0" borderId="50" xfId="108" applyFont="1" applyBorder="1" applyAlignment="1">
      <alignment horizontal="center" vertical="center" wrapText="1"/>
      <protection/>
    </xf>
    <xf numFmtId="0" fontId="7" fillId="0" borderId="51" xfId="108" applyFont="1" applyBorder="1" applyAlignment="1">
      <alignment horizontal="center" vertical="center" wrapText="1"/>
      <protection/>
    </xf>
    <xf numFmtId="0" fontId="7" fillId="0" borderId="53" xfId="108" applyFont="1" applyBorder="1" applyAlignment="1">
      <alignment horizontal="center" vertical="center" wrapText="1"/>
      <protection/>
    </xf>
    <xf numFmtId="0" fontId="7" fillId="0" borderId="54" xfId="108" applyFont="1" applyBorder="1" applyAlignment="1">
      <alignment horizontal="center" vertical="center" wrapText="1"/>
      <protection/>
    </xf>
    <xf numFmtId="0" fontId="7" fillId="0" borderId="55" xfId="108" applyFont="1" applyBorder="1" applyAlignment="1">
      <alignment horizontal="center" vertical="center" wrapText="1"/>
      <protection/>
    </xf>
    <xf numFmtId="0" fontId="7" fillId="0" borderId="38" xfId="108" applyFont="1" applyBorder="1" applyAlignment="1" quotePrefix="1">
      <alignment horizontal="center" vertical="center"/>
      <protection/>
    </xf>
    <xf numFmtId="0" fontId="7" fillId="0" borderId="37" xfId="108" applyFont="1" applyBorder="1" applyAlignment="1" quotePrefix="1">
      <alignment horizontal="center" vertical="center"/>
      <protection/>
    </xf>
    <xf numFmtId="0" fontId="7" fillId="0" borderId="47" xfId="108" applyFont="1" applyBorder="1" applyAlignment="1" quotePrefix="1">
      <alignment horizontal="center" vertical="center"/>
      <protection/>
    </xf>
    <xf numFmtId="0" fontId="7" fillId="0" borderId="48" xfId="108" applyFont="1" applyBorder="1" applyAlignment="1" quotePrefix="1">
      <alignment horizontal="center" vertical="center"/>
      <protection/>
    </xf>
    <xf numFmtId="0" fontId="7" fillId="0" borderId="10" xfId="108" applyFont="1" applyBorder="1" applyAlignment="1" quotePrefix="1">
      <alignment horizontal="center" vertical="center"/>
      <protection/>
    </xf>
    <xf numFmtId="0" fontId="16" fillId="0" borderId="18" xfId="109" applyFont="1" applyFill="1" applyBorder="1" applyAlignment="1">
      <alignment horizontal="center" vertical="center" wrapText="1"/>
      <protection/>
    </xf>
    <xf numFmtId="0" fontId="16" fillId="0" borderId="65" xfId="109" applyFont="1" applyFill="1" applyBorder="1" applyAlignment="1">
      <alignment horizontal="center" vertical="center" wrapText="1"/>
      <protection/>
    </xf>
    <xf numFmtId="0" fontId="16" fillId="0" borderId="17" xfId="109" applyFont="1" applyFill="1" applyBorder="1" applyAlignment="1">
      <alignment horizontal="center" vertical="center" wrapText="1"/>
      <protection/>
    </xf>
    <xf numFmtId="0" fontId="11" fillId="0" borderId="26" xfId="109" applyFont="1" applyFill="1" applyBorder="1" applyAlignment="1">
      <alignment horizontal="center" vertical="center" wrapText="1"/>
      <protection/>
    </xf>
    <xf numFmtId="0" fontId="11" fillId="0" borderId="79" xfId="109" applyFont="1" applyFill="1" applyBorder="1" applyAlignment="1">
      <alignment horizontal="center" vertical="center" wrapText="1"/>
      <protection/>
    </xf>
    <xf numFmtId="0" fontId="11" fillId="0" borderId="18" xfId="109" applyFont="1" applyFill="1" applyBorder="1" applyAlignment="1">
      <alignment horizontal="center" vertical="center" wrapText="1"/>
      <protection/>
    </xf>
    <xf numFmtId="0" fontId="66" fillId="0" borderId="43" xfId="109" applyFont="1" applyFill="1" applyBorder="1" applyAlignment="1">
      <alignment horizontal="center" vertical="center" wrapText="1"/>
      <protection/>
    </xf>
    <xf numFmtId="0" fontId="10" fillId="0" borderId="74" xfId="108" applyFont="1" applyBorder="1" applyAlignment="1">
      <alignment horizontal="center" vertical="center" wrapText="1"/>
      <protection/>
    </xf>
    <xf numFmtId="0" fontId="10" fillId="0" borderId="77" xfId="108" applyFont="1" applyBorder="1" applyAlignment="1">
      <alignment horizontal="center" vertical="center" wrapText="1"/>
      <protection/>
    </xf>
    <xf numFmtId="20" fontId="10" fillId="0" borderId="47" xfId="108" applyNumberFormat="1" applyFont="1" applyBorder="1" applyAlignment="1" quotePrefix="1">
      <alignment horizontal="center" vertical="center" wrapText="1"/>
      <protection/>
    </xf>
    <xf numFmtId="0" fontId="10" fillId="0" borderId="48" xfId="108" applyFont="1" applyBorder="1" applyAlignment="1">
      <alignment horizontal="center" vertical="center" wrapText="1"/>
      <protection/>
    </xf>
    <xf numFmtId="0" fontId="10" fillId="0" borderId="38" xfId="108" applyFont="1" applyBorder="1" applyAlignment="1">
      <alignment horizontal="center"/>
      <protection/>
    </xf>
    <xf numFmtId="0" fontId="10" fillId="0" borderId="74" xfId="108" applyFont="1" applyBorder="1" applyAlignment="1">
      <alignment horizontal="center"/>
      <protection/>
    </xf>
    <xf numFmtId="0" fontId="10" fillId="0" borderId="10" xfId="108" applyFont="1" applyBorder="1" applyAlignment="1">
      <alignment horizontal="center"/>
      <protection/>
    </xf>
    <xf numFmtId="0" fontId="10" fillId="0" borderId="47" xfId="108" applyFont="1" applyBorder="1" applyAlignment="1">
      <alignment horizontal="center" vertical="center" wrapText="1"/>
      <protection/>
    </xf>
    <xf numFmtId="0" fontId="10" fillId="0" borderId="10" xfId="108" applyFont="1" applyBorder="1" applyAlignment="1">
      <alignment horizontal="center" vertical="center" wrapText="1"/>
      <protection/>
    </xf>
    <xf numFmtId="0" fontId="10" fillId="0" borderId="69" xfId="108" applyFont="1" applyBorder="1" applyAlignment="1">
      <alignment horizontal="center" vertical="center" wrapText="1"/>
      <protection/>
    </xf>
    <xf numFmtId="0" fontId="9" fillId="0" borderId="74" xfId="108" applyFont="1" applyBorder="1" applyAlignment="1">
      <alignment horizontal="center" vertical="center" wrapText="1"/>
      <protection/>
    </xf>
    <xf numFmtId="0" fontId="9" fillId="0" borderId="77" xfId="108" applyFont="1" applyBorder="1" applyAlignment="1">
      <alignment horizontal="center" vertical="center" wrapText="1"/>
      <protection/>
    </xf>
    <xf numFmtId="0" fontId="10" fillId="0" borderId="47" xfId="108" applyFont="1" applyBorder="1" applyAlignment="1">
      <alignment horizontal="center" vertical="center"/>
      <protection/>
    </xf>
    <xf numFmtId="0" fontId="10" fillId="0" borderId="76" xfId="108" applyFont="1" applyBorder="1" applyAlignment="1">
      <alignment horizontal="center" vertical="center"/>
      <protection/>
    </xf>
    <xf numFmtId="0" fontId="10" fillId="0" borderId="76" xfId="108" applyFont="1" applyBorder="1" applyAlignment="1">
      <alignment horizontal="center" vertical="center" wrapText="1"/>
      <protection/>
    </xf>
    <xf numFmtId="0" fontId="10" fillId="0" borderId="38" xfId="108" applyFont="1" applyBorder="1" applyAlignment="1">
      <alignment horizontal="center" vertical="center" wrapText="1"/>
      <protection/>
    </xf>
    <xf numFmtId="0" fontId="10" fillId="0" borderId="37" xfId="108" applyFont="1" applyBorder="1" applyAlignment="1">
      <alignment horizontal="center" vertical="center" wrapText="1"/>
      <protection/>
    </xf>
    <xf numFmtId="0" fontId="58" fillId="0" borderId="43" xfId="94" applyFont="1" applyFill="1" applyBorder="1" applyAlignment="1">
      <alignment horizontal="center" vertical="center"/>
      <protection/>
    </xf>
    <xf numFmtId="0" fontId="56" fillId="0" borderId="0" xfId="94" applyFont="1" applyFill="1" applyAlignment="1">
      <alignment horizontal="center" vertical="center"/>
      <protection/>
    </xf>
    <xf numFmtId="0" fontId="11" fillId="0" borderId="43" xfId="94" applyFont="1" applyFill="1" applyBorder="1" applyAlignment="1">
      <alignment horizontal="center" vertical="center" wrapText="1"/>
      <protection/>
    </xf>
    <xf numFmtId="0" fontId="57" fillId="0" borderId="43" xfId="94" applyFont="1" applyFill="1" applyBorder="1" applyAlignment="1">
      <alignment horizontal="center" vertical="center"/>
      <protection/>
    </xf>
    <xf numFmtId="0" fontId="11" fillId="0" borderId="43" xfId="94" applyNumberFormat="1" applyFont="1" applyFill="1" applyBorder="1" applyAlignment="1">
      <alignment horizontal="center" vertical="center" wrapText="1"/>
      <protection/>
    </xf>
    <xf numFmtId="0" fontId="11" fillId="0" borderId="43" xfId="94" applyFont="1" applyFill="1" applyBorder="1" applyAlignment="1">
      <alignment horizontal="center"/>
      <protection/>
    </xf>
    <xf numFmtId="0" fontId="9" fillId="0" borderId="43" xfId="94" applyFont="1" applyFill="1" applyBorder="1" applyAlignment="1">
      <alignment horizontal="center" vertical="center" wrapText="1"/>
      <protection/>
    </xf>
    <xf numFmtId="0" fontId="11" fillId="0" borderId="43" xfId="94" applyFont="1" applyFill="1" applyBorder="1" applyAlignment="1">
      <alignment horizontal="center" vertical="center"/>
      <protection/>
    </xf>
    <xf numFmtId="0" fontId="9" fillId="0" borderId="43" xfId="94" applyFont="1" applyFill="1" applyBorder="1" applyAlignment="1">
      <alignment horizontal="left" vertical="center"/>
      <protection/>
    </xf>
    <xf numFmtId="4" fontId="16" fillId="0" borderId="43" xfId="94" applyNumberFormat="1" applyFont="1" applyFill="1" applyBorder="1" applyAlignment="1">
      <alignment horizontal="right" vertical="center"/>
      <protection/>
    </xf>
    <xf numFmtId="0" fontId="9" fillId="0" borderId="43" xfId="94" applyFont="1" applyFill="1" applyBorder="1" applyAlignment="1">
      <alignment horizontal="left" vertical="center" wrapText="1"/>
      <protection/>
    </xf>
    <xf numFmtId="0" fontId="11" fillId="0" borderId="43" xfId="94" applyFont="1" applyFill="1" applyBorder="1" applyAlignment="1">
      <alignment horizontal="left" vertical="center" wrapText="1"/>
      <protection/>
    </xf>
    <xf numFmtId="4" fontId="11" fillId="0" borderId="43" xfId="94" applyNumberFormat="1" applyFont="1" applyFill="1" applyBorder="1" applyAlignment="1">
      <alignment horizontal="right" vertical="center"/>
      <protection/>
    </xf>
    <xf numFmtId="0" fontId="11" fillId="0" borderId="43" xfId="94" applyFont="1" applyFill="1" applyBorder="1" applyAlignment="1">
      <alignment horizontal="left" vertical="center" wrapText="1" indent="1"/>
      <protection/>
    </xf>
    <xf numFmtId="0" fontId="11" fillId="0" borderId="23" xfId="94" applyFont="1" applyFill="1" applyBorder="1" applyAlignment="1">
      <alignment horizontal="center" vertical="center" wrapText="1"/>
      <protection/>
    </xf>
    <xf numFmtId="0" fontId="11" fillId="0" borderId="22" xfId="94" applyFont="1" applyFill="1" applyBorder="1" applyAlignment="1">
      <alignment horizontal="center" vertical="center"/>
      <protection/>
    </xf>
    <xf numFmtId="0" fontId="58" fillId="0" borderId="43" xfId="94" applyFont="1" applyFill="1" applyBorder="1" applyAlignment="1">
      <alignment horizontal="center" vertical="center" wrapText="1"/>
      <protection/>
    </xf>
    <xf numFmtId="0" fontId="11" fillId="0" borderId="43" xfId="94" applyFont="1" applyFill="1" applyBorder="1" applyAlignment="1">
      <alignment horizontal="center" vertical="top" wrapText="1"/>
      <protection/>
    </xf>
    <xf numFmtId="4" fontId="58" fillId="0" borderId="43" xfId="94" applyNumberFormat="1" applyFont="1" applyFill="1" applyBorder="1" applyAlignment="1">
      <alignment horizontal="right" vertical="center"/>
      <protection/>
    </xf>
    <xf numFmtId="4" fontId="58" fillId="0" borderId="43" xfId="94" applyNumberFormat="1" applyFont="1" applyFill="1" applyBorder="1" applyAlignment="1">
      <alignment horizontal="right" vertical="center" wrapText="1"/>
      <protection/>
    </xf>
    <xf numFmtId="4" fontId="58" fillId="0" borderId="23" xfId="94" applyNumberFormat="1" applyFont="1" applyFill="1" applyBorder="1" applyAlignment="1">
      <alignment horizontal="right" vertical="center"/>
      <protection/>
    </xf>
    <xf numFmtId="4" fontId="58" fillId="0" borderId="22" xfId="94" applyNumberFormat="1" applyFont="1" applyFill="1" applyBorder="1" applyAlignment="1">
      <alignment horizontal="right" vertical="center"/>
      <protection/>
    </xf>
    <xf numFmtId="4" fontId="59" fillId="0" borderId="43" xfId="94" applyNumberFormat="1" applyFont="1" applyFill="1" applyBorder="1" applyAlignment="1">
      <alignment horizontal="right" vertical="center" wrapText="1"/>
      <protection/>
    </xf>
    <xf numFmtId="0" fontId="68" fillId="0" borderId="0" xfId="109" applyFont="1" applyAlignment="1">
      <alignment horizontal="center" vertical="center" wrapText="1"/>
      <protection/>
    </xf>
    <xf numFmtId="0" fontId="63" fillId="0" borderId="0" xfId="109" applyFont="1" applyAlignment="1">
      <alignment horizontal="left" vertical="center" wrapText="1"/>
      <protection/>
    </xf>
    <xf numFmtId="0" fontId="10" fillId="0" borderId="47" xfId="108" applyFont="1" applyBorder="1" applyAlignment="1">
      <alignment horizontal="center" vertical="center"/>
      <protection/>
    </xf>
    <xf numFmtId="0" fontId="10" fillId="0" borderId="76" xfId="108" applyFont="1" applyBorder="1" applyAlignment="1">
      <alignment horizontal="center" vertical="center"/>
      <protection/>
    </xf>
    <xf numFmtId="0" fontId="10" fillId="0" borderId="74" xfId="108" applyFont="1" applyBorder="1" applyAlignment="1">
      <alignment horizontal="center" vertical="center" wrapText="1"/>
      <protection/>
    </xf>
    <xf numFmtId="0" fontId="10" fillId="0" borderId="33" xfId="108" applyFont="1" applyBorder="1" applyAlignment="1">
      <alignment horizontal="center" vertical="center" wrapText="1"/>
      <protection/>
    </xf>
    <xf numFmtId="0" fontId="14" fillId="0" borderId="0" xfId="108" applyFont="1" applyAlignment="1">
      <alignment horizontal="center" vertical="center" wrapText="1"/>
      <protection/>
    </xf>
    <xf numFmtId="0" fontId="7" fillId="0" borderId="61" xfId="108" applyFont="1" applyBorder="1" applyAlignment="1">
      <alignment horizontal="center"/>
      <protection/>
    </xf>
    <xf numFmtId="0" fontId="7" fillId="0" borderId="83" xfId="108" applyFont="1" applyBorder="1" applyAlignment="1">
      <alignment horizontal="center"/>
      <protection/>
    </xf>
    <xf numFmtId="0" fontId="7" fillId="0" borderId="84" xfId="108" applyFont="1" applyBorder="1" applyAlignment="1">
      <alignment horizontal="center"/>
      <protection/>
    </xf>
    <xf numFmtId="0" fontId="58" fillId="0" borderId="43" xfId="102" applyFont="1" applyFill="1" applyBorder="1" applyAlignment="1">
      <alignment horizontal="center" vertical="center" wrapText="1"/>
      <protection/>
    </xf>
    <xf numFmtId="0" fontId="57" fillId="0" borderId="43" xfId="102" applyFont="1" applyFill="1" applyBorder="1" applyAlignment="1">
      <alignment horizontal="center" vertical="center"/>
      <protection/>
    </xf>
    <xf numFmtId="0" fontId="11" fillId="0" borderId="43" xfId="102" applyFont="1" applyFill="1" applyBorder="1" applyAlignment="1">
      <alignment horizontal="center" vertical="center" wrapText="1"/>
      <protection/>
    </xf>
    <xf numFmtId="0" fontId="58" fillId="0" borderId="43" xfId="102" applyFont="1" applyFill="1" applyBorder="1" applyAlignment="1">
      <alignment horizontal="center" vertical="center"/>
      <protection/>
    </xf>
    <xf numFmtId="0" fontId="56" fillId="0" borderId="0" xfId="102" applyFont="1" applyFill="1" applyAlignment="1">
      <alignment horizontal="center" vertical="center"/>
      <protection/>
    </xf>
    <xf numFmtId="0" fontId="11" fillId="0" borderId="43" xfId="102" applyNumberFormat="1" applyFont="1" applyFill="1" applyBorder="1" applyAlignment="1">
      <alignment horizontal="center" vertical="center" wrapText="1"/>
      <protection/>
    </xf>
    <xf numFmtId="0" fontId="11" fillId="0" borderId="43" xfId="102" applyFont="1" applyFill="1" applyBorder="1" applyAlignment="1">
      <alignment horizontal="center"/>
      <protection/>
    </xf>
    <xf numFmtId="0" fontId="9" fillId="0" borderId="43" xfId="102" applyFont="1" applyFill="1" applyBorder="1" applyAlignment="1">
      <alignment horizontal="center" vertical="center" wrapText="1"/>
      <protection/>
    </xf>
    <xf numFmtId="0" fontId="11" fillId="0" borderId="43" xfId="102" applyFont="1" applyFill="1" applyBorder="1" applyAlignment="1">
      <alignment horizontal="center" vertical="center"/>
      <protection/>
    </xf>
    <xf numFmtId="0" fontId="9" fillId="0" borderId="43" xfId="102" applyFont="1" applyFill="1" applyBorder="1" applyAlignment="1">
      <alignment horizontal="left" vertical="center"/>
      <protection/>
    </xf>
    <xf numFmtId="4" fontId="16" fillId="0" borderId="23" xfId="102" applyNumberFormat="1" applyFont="1" applyFill="1" applyBorder="1" applyAlignment="1">
      <alignment horizontal="right" vertical="center"/>
      <protection/>
    </xf>
    <xf numFmtId="4" fontId="16" fillId="0" borderId="22" xfId="102" applyNumberFormat="1" applyFont="1" applyFill="1" applyBorder="1" applyAlignment="1">
      <alignment horizontal="right" vertical="center"/>
      <protection/>
    </xf>
    <xf numFmtId="0" fontId="9" fillId="0" borderId="43" xfId="102" applyFont="1" applyFill="1" applyBorder="1" applyAlignment="1">
      <alignment horizontal="left" vertical="center" wrapText="1"/>
      <protection/>
    </xf>
    <xf numFmtId="0" fontId="11" fillId="0" borderId="43" xfId="102" applyFont="1" applyFill="1" applyBorder="1" applyAlignment="1">
      <alignment horizontal="left" vertical="center" wrapText="1"/>
      <protection/>
    </xf>
    <xf numFmtId="4" fontId="11" fillId="0" borderId="23" xfId="102" applyNumberFormat="1" applyFont="1" applyFill="1" applyBorder="1" applyAlignment="1">
      <alignment horizontal="right" vertical="center"/>
      <protection/>
    </xf>
    <xf numFmtId="4" fontId="11" fillId="0" borderId="22" xfId="102" applyNumberFormat="1" applyFont="1" applyFill="1" applyBorder="1" applyAlignment="1">
      <alignment horizontal="right" vertical="center"/>
      <protection/>
    </xf>
    <xf numFmtId="0" fontId="11" fillId="0" borderId="43" xfId="102" applyFont="1" applyFill="1" applyBorder="1" applyAlignment="1">
      <alignment horizontal="left" vertical="center" wrapText="1" indent="1"/>
      <protection/>
    </xf>
    <xf numFmtId="0" fontId="11" fillId="0" borderId="43" xfId="102" applyFont="1" applyFill="1" applyBorder="1" applyAlignment="1">
      <alignment horizontal="center" vertical="top" wrapText="1"/>
      <protection/>
    </xf>
    <xf numFmtId="0" fontId="11" fillId="0" borderId="23" xfId="102" applyFont="1" applyFill="1" applyBorder="1" applyAlignment="1">
      <alignment horizontal="center" vertical="center" wrapText="1"/>
      <protection/>
    </xf>
    <xf numFmtId="0" fontId="11" fillId="0" borderId="22" xfId="102" applyFont="1" applyFill="1" applyBorder="1" applyAlignment="1">
      <alignment horizontal="center" vertical="center"/>
      <protection/>
    </xf>
    <xf numFmtId="4" fontId="16" fillId="0" borderId="43" xfId="102" applyNumberFormat="1" applyFont="1" applyFill="1" applyBorder="1" applyAlignment="1">
      <alignment horizontal="right" vertical="center"/>
      <protection/>
    </xf>
    <xf numFmtId="4" fontId="59" fillId="0" borderId="43" xfId="102" applyNumberFormat="1" applyFont="1" applyFill="1" applyBorder="1" applyAlignment="1">
      <alignment horizontal="right" vertical="center" wrapText="1"/>
      <protection/>
    </xf>
    <xf numFmtId="4" fontId="58" fillId="0" borderId="43" xfId="102" applyNumberFormat="1" applyFont="1" applyFill="1" applyBorder="1" applyAlignment="1">
      <alignment horizontal="right" vertical="center"/>
      <protection/>
    </xf>
    <xf numFmtId="4" fontId="58" fillId="0" borderId="43" xfId="102" applyNumberFormat="1" applyFont="1" applyFill="1" applyBorder="1" applyAlignment="1">
      <alignment horizontal="right" vertical="center" wrapText="1"/>
      <protection/>
    </xf>
    <xf numFmtId="0" fontId="68" fillId="0" borderId="0" xfId="109" applyFont="1" applyFill="1" applyAlignment="1">
      <alignment horizontal="center" vertical="center" wrapText="1"/>
      <protection/>
    </xf>
    <xf numFmtId="0" fontId="9" fillId="0" borderId="61" xfId="108" applyFont="1" applyBorder="1" applyAlignment="1">
      <alignment horizontal="center"/>
      <protection/>
    </xf>
    <xf numFmtId="0" fontId="9" fillId="0" borderId="83" xfId="108" applyFont="1" applyBorder="1" applyAlignment="1">
      <alignment horizontal="center"/>
      <protection/>
    </xf>
    <xf numFmtId="0" fontId="9" fillId="0" borderId="56" xfId="108" applyFont="1" applyBorder="1" applyAlignment="1">
      <alignment horizontal="center"/>
      <protection/>
    </xf>
    <xf numFmtId="0" fontId="10" fillId="0" borderId="48" xfId="108" applyFont="1" applyBorder="1" applyAlignment="1">
      <alignment horizontal="center" vertical="center"/>
      <protection/>
    </xf>
    <xf numFmtId="0" fontId="10" fillId="0" borderId="47" xfId="108" applyFont="1" applyBorder="1" applyAlignment="1">
      <alignment horizontal="center" vertical="center" wrapText="1"/>
      <protection/>
    </xf>
    <xf numFmtId="0" fontId="10" fillId="0" borderId="76" xfId="108" applyFont="1" applyBorder="1" applyAlignment="1">
      <alignment horizontal="center" vertical="center" wrapText="1"/>
      <protection/>
    </xf>
    <xf numFmtId="0" fontId="10" fillId="0" borderId="48" xfId="108" applyFont="1" applyBorder="1" applyAlignment="1">
      <alignment horizontal="center" vertical="center" wrapText="1"/>
      <protection/>
    </xf>
    <xf numFmtId="0" fontId="58" fillId="0" borderId="43" xfId="96" applyFont="1" applyFill="1" applyBorder="1" applyAlignment="1">
      <alignment horizontal="center" vertical="center" wrapText="1"/>
      <protection/>
    </xf>
    <xf numFmtId="0" fontId="57" fillId="0" borderId="43" xfId="96" applyFont="1" applyFill="1" applyBorder="1" applyAlignment="1">
      <alignment horizontal="center" vertical="center"/>
      <protection/>
    </xf>
    <xf numFmtId="0" fontId="11" fillId="0" borderId="43" xfId="96" applyFont="1" applyFill="1" applyBorder="1" applyAlignment="1">
      <alignment horizontal="center" vertical="center" wrapText="1"/>
      <protection/>
    </xf>
    <xf numFmtId="0" fontId="58" fillId="0" borderId="43" xfId="96" applyFont="1" applyFill="1" applyBorder="1" applyAlignment="1">
      <alignment horizontal="center" vertical="center"/>
      <protection/>
    </xf>
    <xf numFmtId="0" fontId="56" fillId="0" borderId="0" xfId="96" applyFont="1" applyFill="1" applyAlignment="1">
      <alignment horizontal="center" vertical="center"/>
      <protection/>
    </xf>
    <xf numFmtId="0" fontId="11" fillId="0" borderId="43" xfId="96" applyNumberFormat="1" applyFont="1" applyFill="1" applyBorder="1" applyAlignment="1">
      <alignment horizontal="center" vertical="center" wrapText="1"/>
      <protection/>
    </xf>
    <xf numFmtId="0" fontId="11" fillId="0" borderId="43" xfId="96" applyFont="1" applyFill="1" applyBorder="1" applyAlignment="1">
      <alignment horizontal="center"/>
      <protection/>
    </xf>
    <xf numFmtId="0" fontId="9" fillId="0" borderId="43" xfId="96" applyFont="1" applyFill="1" applyBorder="1" applyAlignment="1">
      <alignment horizontal="center" vertical="center" wrapText="1"/>
      <protection/>
    </xf>
    <xf numFmtId="0" fontId="11" fillId="0" borderId="43" xfId="96" applyFont="1" applyFill="1" applyBorder="1" applyAlignment="1">
      <alignment horizontal="center" vertical="center"/>
      <protection/>
    </xf>
    <xf numFmtId="0" fontId="9" fillId="0" borderId="43" xfId="96" applyFont="1" applyFill="1" applyBorder="1" applyAlignment="1">
      <alignment horizontal="left" vertical="center"/>
      <protection/>
    </xf>
    <xf numFmtId="4" fontId="16" fillId="0" borderId="23" xfId="96" applyNumberFormat="1" applyFont="1" applyFill="1" applyBorder="1" applyAlignment="1">
      <alignment horizontal="right" vertical="center"/>
      <protection/>
    </xf>
    <xf numFmtId="4" fontId="16" fillId="0" borderId="22" xfId="96" applyNumberFormat="1" applyFont="1" applyFill="1" applyBorder="1" applyAlignment="1">
      <alignment horizontal="right" vertical="center"/>
      <protection/>
    </xf>
    <xf numFmtId="0" fontId="9" fillId="0" borderId="43" xfId="96" applyFont="1" applyFill="1" applyBorder="1" applyAlignment="1">
      <alignment horizontal="left" vertical="center" wrapText="1"/>
      <protection/>
    </xf>
    <xf numFmtId="4" fontId="16" fillId="0" borderId="43" xfId="96" applyNumberFormat="1" applyFont="1" applyFill="1" applyBorder="1" applyAlignment="1">
      <alignment horizontal="right" vertical="center"/>
      <protection/>
    </xf>
    <xf numFmtId="0" fontId="11" fillId="0" borderId="43" xfId="96" applyFont="1" applyFill="1" applyBorder="1" applyAlignment="1">
      <alignment horizontal="left" vertical="center" wrapText="1"/>
      <protection/>
    </xf>
    <xf numFmtId="4" fontId="11" fillId="0" borderId="43" xfId="96" applyNumberFormat="1" applyFont="1" applyFill="1" applyBorder="1" applyAlignment="1">
      <alignment horizontal="right" vertical="center"/>
      <protection/>
    </xf>
    <xf numFmtId="0" fontId="11" fillId="0" borderId="43" xfId="96" applyFont="1" applyFill="1" applyBorder="1" applyAlignment="1">
      <alignment horizontal="left" vertical="center" wrapText="1" indent="1"/>
      <protection/>
    </xf>
    <xf numFmtId="0" fontId="11" fillId="0" borderId="43" xfId="96" applyFont="1" applyFill="1" applyBorder="1" applyAlignment="1">
      <alignment horizontal="center" vertical="top" wrapText="1"/>
      <protection/>
    </xf>
    <xf numFmtId="0" fontId="11" fillId="0" borderId="23" xfId="96" applyFont="1" applyFill="1" applyBorder="1" applyAlignment="1">
      <alignment horizontal="center" vertical="center" wrapText="1"/>
      <protection/>
    </xf>
    <xf numFmtId="0" fontId="11" fillId="0" borderId="22" xfId="96" applyFont="1" applyFill="1" applyBorder="1" applyAlignment="1">
      <alignment horizontal="center" vertical="center"/>
      <protection/>
    </xf>
    <xf numFmtId="4" fontId="59" fillId="0" borderId="43" xfId="96" applyNumberFormat="1" applyFont="1" applyFill="1" applyBorder="1" applyAlignment="1">
      <alignment horizontal="right" vertical="center" wrapText="1"/>
      <protection/>
    </xf>
    <xf numFmtId="4" fontId="58" fillId="0" borderId="43" xfId="96" applyNumberFormat="1" applyFont="1" applyFill="1" applyBorder="1" applyAlignment="1">
      <alignment horizontal="right" vertical="center"/>
      <protection/>
    </xf>
    <xf numFmtId="4" fontId="58" fillId="0" borderId="43" xfId="96" applyNumberFormat="1" applyFont="1" applyFill="1" applyBorder="1" applyAlignment="1">
      <alignment horizontal="right" vertical="center" wrapText="1"/>
      <protection/>
    </xf>
    <xf numFmtId="0" fontId="66" fillId="0" borderId="43" xfId="109" applyNumberFormat="1" applyFont="1" applyFill="1" applyBorder="1" applyAlignment="1">
      <alignment horizontal="center" vertical="center" wrapText="1"/>
      <protection/>
    </xf>
    <xf numFmtId="0" fontId="65" fillId="0" borderId="23" xfId="109" applyFont="1" applyFill="1" applyBorder="1" applyAlignment="1">
      <alignment horizontal="center" vertical="center" wrapText="1"/>
      <protection/>
    </xf>
    <xf numFmtId="0" fontId="65" fillId="0" borderId="59" xfId="109" applyFont="1" applyFill="1" applyBorder="1" applyAlignment="1">
      <alignment horizontal="center" vertical="center" wrapText="1"/>
      <protection/>
    </xf>
    <xf numFmtId="0" fontId="65" fillId="0" borderId="22" xfId="109" applyFont="1" applyFill="1" applyBorder="1" applyAlignment="1">
      <alignment horizontal="center" vertical="center" wrapText="1"/>
      <protection/>
    </xf>
    <xf numFmtId="0" fontId="10" fillId="0" borderId="74" xfId="108" applyFont="1" applyBorder="1" applyAlignment="1">
      <alignment horizontal="center"/>
      <protection/>
    </xf>
    <xf numFmtId="0" fontId="10" fillId="0" borderId="10" xfId="108" applyFont="1" applyBorder="1" applyAlignment="1">
      <alignment horizontal="center"/>
      <protection/>
    </xf>
    <xf numFmtId="0" fontId="15" fillId="0" borderId="0" xfId="108" applyFont="1" applyAlignment="1">
      <alignment horizontal="center" vertical="center" wrapText="1"/>
      <protection/>
    </xf>
    <xf numFmtId="0" fontId="9" fillId="0" borderId="12" xfId="108" applyFont="1" applyBorder="1" applyAlignment="1">
      <alignment horizontal="center"/>
      <protection/>
    </xf>
    <xf numFmtId="0" fontId="9" fillId="0" borderId="13" xfId="108" applyFont="1" applyBorder="1" applyAlignment="1">
      <alignment horizontal="center"/>
      <protection/>
    </xf>
    <xf numFmtId="0" fontId="10" fillId="0" borderId="77" xfId="108" applyFont="1" applyBorder="1" applyAlignment="1">
      <alignment horizontal="center" vertical="center" wrapText="1"/>
      <protection/>
    </xf>
    <xf numFmtId="20" fontId="10" fillId="0" borderId="47" xfId="108" applyNumberFormat="1" applyFont="1" applyBorder="1" applyAlignment="1" quotePrefix="1">
      <alignment horizontal="center" vertical="center" wrapText="1"/>
      <protection/>
    </xf>
    <xf numFmtId="0" fontId="10" fillId="0" borderId="38" xfId="108" applyFont="1" applyBorder="1" applyAlignment="1">
      <alignment horizontal="center"/>
      <protection/>
    </xf>
    <xf numFmtId="0" fontId="10" fillId="0" borderId="38" xfId="108" applyFont="1" applyBorder="1" applyAlignment="1">
      <alignment horizontal="center" vertical="center" wrapText="1"/>
      <protection/>
    </xf>
    <xf numFmtId="0" fontId="10" fillId="0" borderId="37" xfId="108" applyFont="1" applyBorder="1" applyAlignment="1">
      <alignment horizontal="center" vertical="center" wrapText="1"/>
      <protection/>
    </xf>
    <xf numFmtId="0" fontId="10" fillId="0" borderId="10" xfId="108" applyFont="1" applyBorder="1" applyAlignment="1">
      <alignment horizontal="center" vertical="center" wrapText="1"/>
      <protection/>
    </xf>
    <xf numFmtId="0" fontId="10" fillId="0" borderId="69" xfId="108" applyFont="1" applyBorder="1" applyAlignment="1">
      <alignment horizontal="center" vertical="center" wrapText="1"/>
      <protection/>
    </xf>
    <xf numFmtId="0" fontId="9" fillId="0" borderId="74" xfId="108" applyFont="1" applyBorder="1" applyAlignment="1">
      <alignment horizontal="center" vertical="center" wrapText="1"/>
      <protection/>
    </xf>
    <xf numFmtId="0" fontId="9" fillId="0" borderId="77" xfId="108" applyFont="1" applyBorder="1" applyAlignment="1">
      <alignment horizontal="center" vertical="center" wrapText="1"/>
      <protection/>
    </xf>
    <xf numFmtId="0" fontId="58" fillId="0" borderId="43" xfId="105" applyFont="1" applyFill="1" applyBorder="1" applyAlignment="1">
      <alignment horizontal="center" vertical="center" wrapText="1"/>
      <protection/>
    </xf>
    <xf numFmtId="0" fontId="57" fillId="0" borderId="43" xfId="105" applyFont="1" applyFill="1" applyBorder="1" applyAlignment="1">
      <alignment horizontal="center" vertical="center"/>
      <protection/>
    </xf>
    <xf numFmtId="0" fontId="11" fillId="0" borderId="43" xfId="105" applyFont="1" applyFill="1" applyBorder="1" applyAlignment="1">
      <alignment horizontal="center" vertical="center" wrapText="1"/>
      <protection/>
    </xf>
    <xf numFmtId="0" fontId="58" fillId="0" borderId="43" xfId="105" applyFont="1" applyFill="1" applyBorder="1" applyAlignment="1">
      <alignment horizontal="center" vertical="center"/>
      <protection/>
    </xf>
    <xf numFmtId="0" fontId="56" fillId="0" borderId="0" xfId="105" applyFont="1" applyFill="1" applyAlignment="1">
      <alignment horizontal="center" vertical="center"/>
      <protection/>
    </xf>
    <xf numFmtId="0" fontId="11" fillId="0" borderId="43" xfId="105" applyNumberFormat="1" applyFont="1" applyFill="1" applyBorder="1" applyAlignment="1">
      <alignment horizontal="center" vertical="center" wrapText="1"/>
      <protection/>
    </xf>
    <xf numFmtId="0" fontId="11" fillId="0" borderId="43" xfId="105" applyFont="1" applyFill="1" applyBorder="1" applyAlignment="1">
      <alignment horizontal="center"/>
      <protection/>
    </xf>
    <xf numFmtId="0" fontId="9" fillId="0" borderId="43" xfId="105" applyFont="1" applyFill="1" applyBorder="1" applyAlignment="1">
      <alignment horizontal="center" vertical="center" wrapText="1"/>
      <protection/>
    </xf>
    <xf numFmtId="0" fontId="11" fillId="0" borderId="43" xfId="105" applyFont="1" applyFill="1" applyBorder="1" applyAlignment="1">
      <alignment horizontal="center" vertical="center"/>
      <protection/>
    </xf>
    <xf numFmtId="0" fontId="9" fillId="0" borderId="43" xfId="105" applyFont="1" applyFill="1" applyBorder="1" applyAlignment="1">
      <alignment horizontal="left" vertical="center"/>
      <protection/>
    </xf>
    <xf numFmtId="4" fontId="16" fillId="0" borderId="43" xfId="105" applyNumberFormat="1" applyFont="1" applyFill="1" applyBorder="1" applyAlignment="1">
      <alignment horizontal="right" vertical="center"/>
      <protection/>
    </xf>
    <xf numFmtId="0" fontId="9" fillId="0" borderId="43" xfId="105" applyFont="1" applyFill="1" applyBorder="1" applyAlignment="1">
      <alignment horizontal="left" vertical="center" wrapText="1"/>
      <protection/>
    </xf>
    <xf numFmtId="0" fontId="11" fillId="0" borderId="43" xfId="105" applyFont="1" applyFill="1" applyBorder="1" applyAlignment="1">
      <alignment horizontal="left" vertical="center" wrapText="1"/>
      <protection/>
    </xf>
    <xf numFmtId="4" fontId="11" fillId="0" borderId="43" xfId="105" applyNumberFormat="1" applyFont="1" applyFill="1" applyBorder="1" applyAlignment="1">
      <alignment horizontal="right" vertical="center"/>
      <protection/>
    </xf>
    <xf numFmtId="0" fontId="11" fillId="0" borderId="43" xfId="105" applyFont="1" applyFill="1" applyBorder="1" applyAlignment="1">
      <alignment horizontal="left" vertical="center" wrapText="1" indent="1"/>
      <protection/>
    </xf>
    <xf numFmtId="0" fontId="11" fillId="0" borderId="43" xfId="105" applyFont="1" applyFill="1" applyBorder="1" applyAlignment="1">
      <alignment horizontal="center" vertical="top" wrapText="1"/>
      <protection/>
    </xf>
    <xf numFmtId="0" fontId="56" fillId="0" borderId="0" xfId="105" applyFont="1" applyAlignment="1">
      <alignment horizontal="center" vertical="center"/>
      <protection/>
    </xf>
    <xf numFmtId="0" fontId="11" fillId="0" borderId="23" xfId="105" applyFont="1" applyFill="1" applyBorder="1" applyAlignment="1">
      <alignment horizontal="center" vertical="center" wrapText="1"/>
      <protection/>
    </xf>
    <xf numFmtId="0" fontId="11" fillId="0" borderId="22" xfId="105" applyFont="1" applyFill="1" applyBorder="1" applyAlignment="1">
      <alignment horizontal="center" vertical="center"/>
      <protection/>
    </xf>
    <xf numFmtId="4" fontId="59" fillId="0" borderId="43" xfId="105" applyNumberFormat="1" applyFont="1" applyFill="1" applyBorder="1" applyAlignment="1">
      <alignment horizontal="right" vertical="center" wrapText="1"/>
      <protection/>
    </xf>
    <xf numFmtId="4" fontId="58" fillId="0" borderId="43" xfId="105" applyNumberFormat="1" applyFont="1" applyFill="1" applyBorder="1" applyAlignment="1">
      <alignment horizontal="right" vertical="center"/>
      <protection/>
    </xf>
    <xf numFmtId="4" fontId="58" fillId="0" borderId="43" xfId="105" applyNumberFormat="1" applyFont="1" applyFill="1" applyBorder="1" applyAlignment="1">
      <alignment horizontal="right" vertical="center" wrapText="1"/>
      <protection/>
    </xf>
    <xf numFmtId="0" fontId="58" fillId="0" borderId="43" xfId="111" applyFont="1" applyFill="1" applyBorder="1" applyAlignment="1">
      <alignment horizontal="center" vertical="center" wrapText="1"/>
      <protection/>
    </xf>
    <xf numFmtId="0" fontId="57" fillId="0" borderId="43" xfId="111" applyFont="1" applyFill="1" applyBorder="1" applyAlignment="1">
      <alignment horizontal="center" vertical="center"/>
      <protection/>
    </xf>
    <xf numFmtId="0" fontId="11" fillId="0" borderId="43" xfId="111" applyFont="1" applyFill="1" applyBorder="1" applyAlignment="1">
      <alignment horizontal="center" vertical="center" wrapText="1"/>
      <protection/>
    </xf>
    <xf numFmtId="0" fontId="58" fillId="0" borderId="43" xfId="111" applyFont="1" applyFill="1" applyBorder="1" applyAlignment="1">
      <alignment horizontal="center" vertical="center"/>
      <protection/>
    </xf>
    <xf numFmtId="0" fontId="56" fillId="0" borderId="0" xfId="111" applyFont="1" applyFill="1" applyAlignment="1">
      <alignment horizontal="center" vertical="center"/>
      <protection/>
    </xf>
    <xf numFmtId="0" fontId="11" fillId="0" borderId="43" xfId="111" applyNumberFormat="1" applyFont="1" applyFill="1" applyBorder="1" applyAlignment="1">
      <alignment horizontal="center" vertical="center" wrapText="1"/>
      <protection/>
    </xf>
    <xf numFmtId="0" fontId="11" fillId="0" borderId="43" xfId="111" applyFont="1" applyFill="1" applyBorder="1" applyAlignment="1">
      <alignment horizontal="center"/>
      <protection/>
    </xf>
    <xf numFmtId="0" fontId="9" fillId="0" borderId="43" xfId="111" applyFont="1" applyFill="1" applyBorder="1" applyAlignment="1">
      <alignment horizontal="center" vertical="center" wrapText="1"/>
      <protection/>
    </xf>
    <xf numFmtId="0" fontId="11" fillId="0" borderId="43" xfId="111" applyFont="1" applyFill="1" applyBorder="1" applyAlignment="1">
      <alignment horizontal="center" vertical="center"/>
      <protection/>
    </xf>
    <xf numFmtId="0" fontId="9" fillId="0" borderId="43" xfId="111" applyFont="1" applyFill="1" applyBorder="1" applyAlignment="1">
      <alignment horizontal="left" vertical="center"/>
      <protection/>
    </xf>
    <xf numFmtId="4" fontId="16" fillId="0" borderId="43" xfId="111" applyNumberFormat="1" applyFont="1" applyFill="1" applyBorder="1" applyAlignment="1">
      <alignment horizontal="right" vertical="center"/>
      <protection/>
    </xf>
    <xf numFmtId="0" fontId="9" fillId="0" borderId="43" xfId="111" applyFont="1" applyFill="1" applyBorder="1" applyAlignment="1">
      <alignment horizontal="left" vertical="center" wrapText="1"/>
      <protection/>
    </xf>
    <xf numFmtId="0" fontId="11" fillId="0" borderId="43" xfId="111" applyFont="1" applyFill="1" applyBorder="1" applyAlignment="1">
      <alignment horizontal="left" vertical="center" wrapText="1"/>
      <protection/>
    </xf>
    <xf numFmtId="4" fontId="11" fillId="0" borderId="43" xfId="111" applyNumberFormat="1" applyFont="1" applyFill="1" applyBorder="1" applyAlignment="1">
      <alignment horizontal="right" vertical="center"/>
      <protection/>
    </xf>
    <xf numFmtId="0" fontId="11" fillId="0" borderId="43" xfId="111" applyFont="1" applyFill="1" applyBorder="1" applyAlignment="1">
      <alignment horizontal="left" vertical="center" wrapText="1" indent="1"/>
      <protection/>
    </xf>
    <xf numFmtId="0" fontId="11" fillId="0" borderId="43" xfId="111" applyFont="1" applyFill="1" applyBorder="1" applyAlignment="1">
      <alignment horizontal="center" vertical="top" wrapText="1"/>
      <protection/>
    </xf>
    <xf numFmtId="0" fontId="11" fillId="0" borderId="23" xfId="111" applyFont="1" applyFill="1" applyBorder="1" applyAlignment="1">
      <alignment horizontal="center" vertical="center" wrapText="1"/>
      <protection/>
    </xf>
    <xf numFmtId="0" fontId="11" fillId="0" borderId="22" xfId="111" applyFont="1" applyFill="1" applyBorder="1" applyAlignment="1">
      <alignment horizontal="center" vertical="center"/>
      <protection/>
    </xf>
    <xf numFmtId="4" fontId="59" fillId="0" borderId="43" xfId="111" applyNumberFormat="1" applyFont="1" applyFill="1" applyBorder="1" applyAlignment="1">
      <alignment horizontal="right" vertical="center" wrapText="1"/>
      <protection/>
    </xf>
    <xf numFmtId="4" fontId="58" fillId="0" borderId="43" xfId="111" applyNumberFormat="1" applyFont="1" applyFill="1" applyBorder="1" applyAlignment="1">
      <alignment horizontal="right" vertical="center"/>
      <protection/>
    </xf>
    <xf numFmtId="4" fontId="58" fillId="0" borderId="43" xfId="111" applyNumberFormat="1" applyFont="1" applyFill="1" applyBorder="1" applyAlignment="1">
      <alignment horizontal="right" vertical="center" wrapText="1"/>
      <protection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Arkusz1_1" xfId="88"/>
    <cellStyle name="Normalny_Arkusz1_G_06" xfId="89"/>
    <cellStyle name="Normalny_Arkusz2" xfId="90"/>
    <cellStyle name="Normalny_Arkusz3" xfId="91"/>
    <cellStyle name="Normalny_Arkusz4" xfId="92"/>
    <cellStyle name="Normalny_GMINY" xfId="93"/>
    <cellStyle name="Normalny_Gminy_DW" xfId="94"/>
    <cellStyle name="Normalny_Gminy_ZN" xfId="95"/>
    <cellStyle name="Normalny_Miasta_DW" xfId="96"/>
    <cellStyle name="Normalny_MIASTA_M_06" xfId="97"/>
    <cellStyle name="Normalny_Miasta_ZN" xfId="98"/>
    <cellStyle name="Normalny_Og_jst_DW" xfId="99"/>
    <cellStyle name="Normalny_Og_jst_ZN" xfId="100"/>
    <cellStyle name="Normalny_POWIATY" xfId="101"/>
    <cellStyle name="Normalny_Powiaty_DW" xfId="102"/>
    <cellStyle name="Normalny_Powiaty_ZN" xfId="103"/>
    <cellStyle name="Normalny_WOJ" xfId="104"/>
    <cellStyle name="Normalny_Wojew_DW" xfId="105"/>
    <cellStyle name="Normalny_Wojew_ZN" xfId="106"/>
    <cellStyle name="Normalny_WOJEWÓDZTWA" xfId="107"/>
    <cellStyle name="Normalny_Zał_IIkw2006" xfId="108"/>
    <cellStyle name="Normalny_Zeszyt1" xfId="109"/>
    <cellStyle name="Normalny_zobow" xfId="110"/>
    <cellStyle name="Normalny_Zwiazki_DW" xfId="111"/>
    <cellStyle name="Normalny_Zwiazki_ZN" xfId="112"/>
    <cellStyle name="Note" xfId="113"/>
    <cellStyle name="Obliczenia" xfId="114"/>
    <cellStyle name="Followed Hyperlink" xfId="115"/>
    <cellStyle name="Output" xfId="116"/>
    <cellStyle name="Percent" xfId="117"/>
    <cellStyle name="Suma" xfId="118"/>
    <cellStyle name="Tekst objaśnienia" xfId="119"/>
    <cellStyle name="Tekst ostrzeżenia" xfId="120"/>
    <cellStyle name="Title" xfId="121"/>
    <cellStyle name="Total" xfId="122"/>
    <cellStyle name="Tytuł" xfId="123"/>
    <cellStyle name="Uwaga" xfId="124"/>
    <cellStyle name="Currency" xfId="125"/>
    <cellStyle name="Currency [0]" xfId="126"/>
    <cellStyle name="Warning Text" xfId="127"/>
    <cellStyle name="Złe" xfId="1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showGridLines="0" tabSelected="1" workbookViewId="0" topLeftCell="A1">
      <selection activeCell="G9" sqref="G9"/>
    </sheetView>
  </sheetViews>
  <sheetFormatPr defaultColWidth="9.140625" defaultRowHeight="12.75"/>
  <cols>
    <col min="1" max="1" width="57.00390625" style="0" customWidth="1"/>
    <col min="2" max="2" width="8.140625" style="0" customWidth="1"/>
    <col min="3" max="3" width="13.00390625" style="0" customWidth="1"/>
    <col min="4" max="4" width="12.8515625" style="0" customWidth="1"/>
    <col min="5" max="5" width="14.140625" style="0" customWidth="1"/>
  </cols>
  <sheetData>
    <row r="1" spans="1:5" ht="43.5" customHeight="1" thickBot="1">
      <c r="A1" s="674" t="s">
        <v>700</v>
      </c>
      <c r="B1" s="675"/>
      <c r="C1" s="675"/>
      <c r="D1" s="675"/>
      <c r="E1" s="675"/>
    </row>
    <row r="2" spans="1:5" ht="38.25" customHeight="1" thickBot="1">
      <c r="A2" s="677" t="s">
        <v>460</v>
      </c>
      <c r="B2" s="677" t="s">
        <v>483</v>
      </c>
      <c r="C2" s="679" t="s">
        <v>710</v>
      </c>
      <c r="D2" s="680"/>
      <c r="E2" s="681"/>
    </row>
    <row r="3" spans="1:5" ht="13.5" thickBot="1">
      <c r="A3" s="678"/>
      <c r="B3" s="678"/>
      <c r="C3" s="239">
        <v>2006</v>
      </c>
      <c r="D3" s="239">
        <v>2007</v>
      </c>
      <c r="E3" s="239">
        <v>2008</v>
      </c>
    </row>
    <row r="4" spans="1:5" ht="13.5" thickBot="1">
      <c r="A4" s="240">
        <v>1</v>
      </c>
      <c r="B4" s="241">
        <v>2</v>
      </c>
      <c r="C4" s="241">
        <v>3</v>
      </c>
      <c r="D4" s="241">
        <v>4</v>
      </c>
      <c r="E4" s="241">
        <v>5</v>
      </c>
    </row>
    <row r="5" spans="1:5" ht="21.75" customHeight="1">
      <c r="A5" s="260" t="s">
        <v>484</v>
      </c>
      <c r="B5" s="242"/>
      <c r="C5" s="243"/>
      <c r="D5" s="243"/>
      <c r="E5" s="243"/>
    </row>
    <row r="6" spans="1:5" s="244" customFormat="1" ht="21.75" customHeight="1">
      <c r="A6" s="249" t="s">
        <v>485</v>
      </c>
      <c r="B6" s="250" t="s">
        <v>486</v>
      </c>
      <c r="C6" s="251">
        <v>113360582</v>
      </c>
      <c r="D6" s="251">
        <v>125978389</v>
      </c>
      <c r="E6" s="251">
        <v>143401808</v>
      </c>
    </row>
    <row r="7" spans="1:5" ht="21.75" customHeight="1">
      <c r="A7" s="249" t="s">
        <v>4</v>
      </c>
      <c r="B7" s="250" t="s">
        <v>486</v>
      </c>
      <c r="C7" s="251">
        <v>20549564</v>
      </c>
      <c r="D7" s="251">
        <v>23434517</v>
      </c>
      <c r="E7" s="251">
        <v>23623134</v>
      </c>
    </row>
    <row r="8" spans="1:5" ht="27" customHeight="1">
      <c r="A8" s="249" t="s">
        <v>692</v>
      </c>
      <c r="B8" s="250" t="s">
        <v>487</v>
      </c>
      <c r="C8" s="251">
        <v>19331801</v>
      </c>
      <c r="D8" s="251">
        <v>21211349</v>
      </c>
      <c r="E8" s="251">
        <v>21530874</v>
      </c>
    </row>
    <row r="9" spans="1:5" ht="21.75" customHeight="1">
      <c r="A9" s="249" t="s">
        <v>488</v>
      </c>
      <c r="B9" s="250" t="s">
        <v>486</v>
      </c>
      <c r="C9" s="251">
        <v>278372</v>
      </c>
      <c r="D9" s="251">
        <v>270938</v>
      </c>
      <c r="E9" s="251">
        <v>210007</v>
      </c>
    </row>
    <row r="10" spans="1:5" ht="21.75" customHeight="1">
      <c r="A10" s="249" t="s">
        <v>489</v>
      </c>
      <c r="B10" s="250" t="s">
        <v>486</v>
      </c>
      <c r="C10" s="251">
        <v>397119</v>
      </c>
      <c r="D10" s="251">
        <v>436581</v>
      </c>
      <c r="E10" s="251">
        <v>574813</v>
      </c>
    </row>
    <row r="11" spans="1:5" ht="21.75" customHeight="1">
      <c r="A11" s="249" t="s">
        <v>490</v>
      </c>
      <c r="B11" s="250" t="s">
        <v>486</v>
      </c>
      <c r="C11" s="251">
        <v>17670</v>
      </c>
      <c r="D11" s="251">
        <v>17148</v>
      </c>
      <c r="E11" s="251">
        <v>28214</v>
      </c>
    </row>
    <row r="12" spans="1:5" ht="21.75" customHeight="1">
      <c r="A12" s="249" t="s">
        <v>491</v>
      </c>
      <c r="B12" s="250" t="s">
        <v>477</v>
      </c>
      <c r="C12" s="259">
        <v>18.1</v>
      </c>
      <c r="D12" s="259">
        <v>18.6</v>
      </c>
      <c r="E12" s="254">
        <f>+E7/E6*100</f>
        <v>16.473386444332696</v>
      </c>
    </row>
    <row r="13" spans="1:5" ht="36" customHeight="1">
      <c r="A13" s="249" t="s">
        <v>492</v>
      </c>
      <c r="B13" s="250" t="s">
        <v>477</v>
      </c>
      <c r="C13" s="259">
        <v>17.1</v>
      </c>
      <c r="D13" s="259">
        <v>16.8</v>
      </c>
      <c r="E13" s="254">
        <f>+E8/E6*100</f>
        <v>15.014367182874011</v>
      </c>
    </row>
    <row r="14" spans="1:5" ht="30.75" customHeight="1">
      <c r="A14" s="249" t="s">
        <v>493</v>
      </c>
      <c r="B14" s="250" t="s">
        <v>494</v>
      </c>
      <c r="C14" s="259">
        <v>0.2</v>
      </c>
      <c r="D14" s="259">
        <v>0.2</v>
      </c>
      <c r="E14" s="254">
        <f>+E9/E6*100</f>
        <v>0.14644654968366924</v>
      </c>
    </row>
    <row r="15" spans="1:5" ht="23.25" customHeight="1" thickBot="1">
      <c r="A15" s="249" t="s">
        <v>495</v>
      </c>
      <c r="B15" s="250" t="s">
        <v>496</v>
      </c>
      <c r="C15" s="259">
        <v>1.4</v>
      </c>
      <c r="D15" s="259">
        <v>1.2</v>
      </c>
      <c r="E15" s="258">
        <f>+E9/E7*100</f>
        <v>0.8889887345176132</v>
      </c>
    </row>
    <row r="16" spans="1:5" ht="25.5" customHeight="1">
      <c r="A16" s="245" t="s">
        <v>462</v>
      </c>
      <c r="B16" s="246"/>
      <c r="C16" s="247"/>
      <c r="D16" s="247"/>
      <c r="E16" s="248"/>
    </row>
    <row r="17" spans="1:5" ht="18.75" customHeight="1">
      <c r="A17" s="249" t="s">
        <v>485</v>
      </c>
      <c r="B17" s="250" t="s">
        <v>486</v>
      </c>
      <c r="C17" s="251">
        <v>50107434</v>
      </c>
      <c r="D17" s="251">
        <v>55538522</v>
      </c>
      <c r="E17" s="252">
        <v>61024722</v>
      </c>
    </row>
    <row r="18" spans="1:5" ht="18.75" customHeight="1">
      <c r="A18" s="249" t="s">
        <v>4</v>
      </c>
      <c r="B18" s="250" t="s">
        <v>486</v>
      </c>
      <c r="C18" s="251">
        <v>7705173</v>
      </c>
      <c r="D18" s="251">
        <v>8830459</v>
      </c>
      <c r="E18" s="252">
        <v>9189415</v>
      </c>
    </row>
    <row r="19" spans="1:5" ht="18.75" customHeight="1">
      <c r="A19" s="249" t="s">
        <v>692</v>
      </c>
      <c r="B19" s="250" t="s">
        <v>486</v>
      </c>
      <c r="C19" s="251">
        <v>7253260</v>
      </c>
      <c r="D19" s="251">
        <v>8320626</v>
      </c>
      <c r="E19" s="252">
        <v>8659950</v>
      </c>
    </row>
    <row r="20" spans="1:5" ht="18.75" customHeight="1">
      <c r="A20" s="249" t="s">
        <v>488</v>
      </c>
      <c r="B20" s="250" t="s">
        <v>486</v>
      </c>
      <c r="C20" s="251">
        <v>204219</v>
      </c>
      <c r="D20" s="251">
        <v>165217</v>
      </c>
      <c r="E20" s="252">
        <v>135924</v>
      </c>
    </row>
    <row r="21" spans="1:5" ht="18.75" customHeight="1">
      <c r="A21" s="249" t="s">
        <v>489</v>
      </c>
      <c r="B21" s="250" t="s">
        <v>486</v>
      </c>
      <c r="C21" s="251">
        <v>139749</v>
      </c>
      <c r="D21" s="251">
        <v>156261</v>
      </c>
      <c r="E21" s="252">
        <v>208001</v>
      </c>
    </row>
    <row r="22" spans="1:5" ht="18.75" customHeight="1">
      <c r="A22" s="249" t="s">
        <v>497</v>
      </c>
      <c r="B22" s="250" t="s">
        <v>486</v>
      </c>
      <c r="C22" s="251">
        <v>5242</v>
      </c>
      <c r="D22" s="251">
        <v>3137</v>
      </c>
      <c r="E22" s="252">
        <v>4804</v>
      </c>
    </row>
    <row r="23" spans="1:5" ht="18.75" customHeight="1">
      <c r="A23" s="249" t="s">
        <v>491</v>
      </c>
      <c r="B23" s="250" t="s">
        <v>477</v>
      </c>
      <c r="C23" s="253">
        <f>+C18/C17*100</f>
        <v>15.377305092094717</v>
      </c>
      <c r="D23" s="253">
        <f>+D18/D17*100</f>
        <v>15.899701111959732</v>
      </c>
      <c r="E23" s="254">
        <f>+E18/E17*100</f>
        <v>15.058511860160543</v>
      </c>
    </row>
    <row r="24" spans="1:5" ht="31.5" customHeight="1">
      <c r="A24" s="249" t="s">
        <v>492</v>
      </c>
      <c r="B24" s="255" t="s">
        <v>477</v>
      </c>
      <c r="C24" s="253">
        <f>+C19/C17*100</f>
        <v>14.47541696108406</v>
      </c>
      <c r="D24" s="253">
        <f>+D19/D17*100</f>
        <v>14.981720255357173</v>
      </c>
      <c r="E24" s="254">
        <f>+E19/E17*100</f>
        <v>14.190888079752334</v>
      </c>
    </row>
    <row r="25" spans="1:5" ht="28.5" customHeight="1">
      <c r="A25" s="249" t="s">
        <v>493</v>
      </c>
      <c r="B25" s="250" t="s">
        <v>477</v>
      </c>
      <c r="C25" s="253">
        <f>+C20/C17*100</f>
        <v>0.4075622790821817</v>
      </c>
      <c r="D25" s="253">
        <f>+D20/D17*100</f>
        <v>0.29748180911260114</v>
      </c>
      <c r="E25" s="254">
        <f>+E20/E17*100</f>
        <v>0.22273595937069568</v>
      </c>
    </row>
    <row r="26" spans="1:5" ht="18.75" customHeight="1" thickBot="1">
      <c r="A26" s="249" t="s">
        <v>495</v>
      </c>
      <c r="B26" s="256" t="s">
        <v>477</v>
      </c>
      <c r="C26" s="257">
        <f>+C20/C18*100</f>
        <v>2.6504142087400244</v>
      </c>
      <c r="D26" s="257">
        <f>+D20/D18*100</f>
        <v>1.870989945143282</v>
      </c>
      <c r="E26" s="258">
        <f>+E20/E18*100</f>
        <v>1.4791365935698846</v>
      </c>
    </row>
    <row r="27" spans="1:5" ht="26.25" customHeight="1">
      <c r="A27" s="245" t="s">
        <v>464</v>
      </c>
      <c r="B27" s="261"/>
      <c r="C27" s="251"/>
      <c r="D27" s="251"/>
      <c r="E27" s="251"/>
    </row>
    <row r="28" spans="1:5" ht="18" customHeight="1">
      <c r="A28" s="249" t="s">
        <v>485</v>
      </c>
      <c r="B28" s="255" t="s">
        <v>486</v>
      </c>
      <c r="C28" s="251">
        <v>14374743</v>
      </c>
      <c r="D28" s="251">
        <v>15471836</v>
      </c>
      <c r="E28" s="251">
        <v>17367102</v>
      </c>
    </row>
    <row r="29" spans="1:5" ht="21.75" customHeight="1">
      <c r="A29" s="249" t="s">
        <v>4</v>
      </c>
      <c r="B29" s="255" t="s">
        <v>486</v>
      </c>
      <c r="C29" s="251">
        <v>1731700</v>
      </c>
      <c r="D29" s="251">
        <v>2321345</v>
      </c>
      <c r="E29" s="251">
        <v>2433564</v>
      </c>
    </row>
    <row r="30" spans="1:5" ht="22.5" customHeight="1">
      <c r="A30" s="249" t="s">
        <v>692</v>
      </c>
      <c r="B30" s="255" t="s">
        <v>486</v>
      </c>
      <c r="C30" s="251">
        <v>1666688</v>
      </c>
      <c r="D30" s="251">
        <v>2215999</v>
      </c>
      <c r="E30" s="251">
        <v>2363755</v>
      </c>
    </row>
    <row r="31" spans="1:5" ht="21.75" customHeight="1">
      <c r="A31" s="249" t="s">
        <v>498</v>
      </c>
      <c r="B31" s="255" t="s">
        <v>486</v>
      </c>
      <c r="C31" s="251">
        <v>6333</v>
      </c>
      <c r="D31" s="251">
        <v>6422</v>
      </c>
      <c r="E31" s="251">
        <v>7359</v>
      </c>
    </row>
    <row r="32" spans="1:5" ht="16.5" customHeight="1">
      <c r="A32" s="249" t="s">
        <v>489</v>
      </c>
      <c r="B32" s="255" t="s">
        <v>486</v>
      </c>
      <c r="C32" s="251">
        <v>45595</v>
      </c>
      <c r="D32" s="251">
        <v>48044</v>
      </c>
      <c r="E32" s="251">
        <v>67452</v>
      </c>
    </row>
    <row r="33" spans="1:5" ht="20.25" customHeight="1">
      <c r="A33" s="249" t="s">
        <v>490</v>
      </c>
      <c r="B33" s="255" t="s">
        <v>486</v>
      </c>
      <c r="C33" s="251">
        <v>9119</v>
      </c>
      <c r="D33" s="251">
        <v>10289</v>
      </c>
      <c r="E33" s="251">
        <v>17450</v>
      </c>
    </row>
    <row r="34" spans="1:5" ht="24.75" customHeight="1">
      <c r="A34" s="249" t="s">
        <v>491</v>
      </c>
      <c r="B34" s="262" t="s">
        <v>477</v>
      </c>
      <c r="C34" s="253">
        <f>+C29/C28*100</f>
        <v>12.04682407191558</v>
      </c>
      <c r="D34" s="253">
        <f>+D29/D28*100</f>
        <v>15.003681528165114</v>
      </c>
      <c r="E34" s="254">
        <f>+E29/E28*100</f>
        <v>14.012493276080257</v>
      </c>
    </row>
    <row r="35" spans="1:5" ht="30.75" customHeight="1">
      <c r="A35" s="249" t="s">
        <v>492</v>
      </c>
      <c r="B35" s="262" t="s">
        <v>477</v>
      </c>
      <c r="C35" s="253">
        <f>+C30/C28*100</f>
        <v>11.594558594891053</v>
      </c>
      <c r="D35" s="253">
        <f>+D30/D28*100</f>
        <v>14.322792718330263</v>
      </c>
      <c r="E35" s="254">
        <f>+E30/E28*100</f>
        <v>13.610532142898682</v>
      </c>
    </row>
    <row r="36" spans="1:5" ht="30.75" customHeight="1">
      <c r="A36" s="249" t="s">
        <v>493</v>
      </c>
      <c r="B36" s="262" t="s">
        <v>477</v>
      </c>
      <c r="C36" s="253">
        <f>+C31/C28*100</f>
        <v>0.04405643982643724</v>
      </c>
      <c r="D36" s="253">
        <f>+D31/D28*100</f>
        <v>0.04150767885595478</v>
      </c>
      <c r="E36" s="254">
        <f>+E31/E28*100</f>
        <v>0.042373218053305614</v>
      </c>
    </row>
    <row r="37" spans="1:5" ht="21.75" customHeight="1" thickBot="1">
      <c r="A37" s="266" t="s">
        <v>495</v>
      </c>
      <c r="B37" s="263" t="s">
        <v>477</v>
      </c>
      <c r="C37" s="257">
        <f>+C31/C29*100</f>
        <v>0.3657099959577294</v>
      </c>
      <c r="D37" s="257">
        <f>+D31/D29*100</f>
        <v>0.2766499593985383</v>
      </c>
      <c r="E37" s="258">
        <f>+E31/E29*100</f>
        <v>0.30239599205116446</v>
      </c>
    </row>
    <row r="38" spans="1:5" ht="30.75" customHeight="1">
      <c r="A38" s="245" t="s">
        <v>463</v>
      </c>
      <c r="B38" s="261"/>
      <c r="C38" s="264"/>
      <c r="D38" s="248"/>
      <c r="E38" s="248"/>
    </row>
    <row r="39" spans="1:5" ht="24" customHeight="1">
      <c r="A39" s="249" t="s">
        <v>485</v>
      </c>
      <c r="B39" s="255" t="s">
        <v>486</v>
      </c>
      <c r="C39" s="265">
        <v>39888680</v>
      </c>
      <c r="D39" s="252">
        <v>44637479</v>
      </c>
      <c r="E39" s="252">
        <v>48147730</v>
      </c>
    </row>
    <row r="40" spans="1:5" ht="24" customHeight="1">
      <c r="A40" s="249" t="s">
        <v>4</v>
      </c>
      <c r="B40" s="255" t="s">
        <v>486</v>
      </c>
      <c r="C40" s="265">
        <v>10042328</v>
      </c>
      <c r="D40" s="252">
        <v>10701197</v>
      </c>
      <c r="E40" s="252">
        <v>10292756</v>
      </c>
    </row>
    <row r="41" spans="1:5" ht="24" customHeight="1">
      <c r="A41" s="249" t="s">
        <v>692</v>
      </c>
      <c r="B41" s="255" t="s">
        <v>486</v>
      </c>
      <c r="C41" s="265">
        <v>9790385</v>
      </c>
      <c r="D41" s="252">
        <v>9936254</v>
      </c>
      <c r="E41" s="252">
        <v>9323102</v>
      </c>
    </row>
    <row r="42" spans="1:5" ht="24" customHeight="1">
      <c r="A42" s="249" t="s">
        <v>498</v>
      </c>
      <c r="B42" s="255" t="s">
        <v>486</v>
      </c>
      <c r="C42" s="265">
        <v>60380</v>
      </c>
      <c r="D42" s="252">
        <v>94839</v>
      </c>
      <c r="E42" s="252">
        <v>64236</v>
      </c>
    </row>
    <row r="43" spans="1:5" ht="24" customHeight="1">
      <c r="A43" s="249" t="s">
        <v>489</v>
      </c>
      <c r="B43" s="255" t="s">
        <v>486</v>
      </c>
      <c r="C43" s="265">
        <v>198366</v>
      </c>
      <c r="D43" s="252">
        <v>213682</v>
      </c>
      <c r="E43" s="252">
        <v>267392</v>
      </c>
    </row>
    <row r="44" spans="1:5" ht="24" customHeight="1">
      <c r="A44" s="249" t="s">
        <v>490</v>
      </c>
      <c r="B44" s="255" t="s">
        <v>486</v>
      </c>
      <c r="C44" s="265">
        <v>1231</v>
      </c>
      <c r="D44" s="252">
        <v>1114</v>
      </c>
      <c r="E44" s="252">
        <v>3552</v>
      </c>
    </row>
    <row r="45" spans="1:5" ht="24" customHeight="1">
      <c r="A45" s="249" t="s">
        <v>491</v>
      </c>
      <c r="B45" s="262" t="s">
        <v>477</v>
      </c>
      <c r="C45" s="253">
        <f>+C40/C39*100</f>
        <v>25.175884486526</v>
      </c>
      <c r="D45" s="253">
        <f>+D40/D39*100</f>
        <v>23.9735693854933</v>
      </c>
      <c r="E45" s="254">
        <f>+E40/E39*100</f>
        <v>21.37744811645326</v>
      </c>
    </row>
    <row r="46" spans="1:5" ht="24" customHeight="1">
      <c r="A46" s="249" t="s">
        <v>492</v>
      </c>
      <c r="B46" s="262" t="s">
        <v>477</v>
      </c>
      <c r="C46" s="253">
        <f>+C41/C39*100</f>
        <v>24.544269201186903</v>
      </c>
      <c r="D46" s="253">
        <f>+D41/D39*100</f>
        <v>22.259890617926697</v>
      </c>
      <c r="E46" s="254">
        <f>+E41/E39*100</f>
        <v>19.36353385715173</v>
      </c>
    </row>
    <row r="47" spans="1:5" ht="24" customHeight="1">
      <c r="A47" s="249" t="s">
        <v>493</v>
      </c>
      <c r="B47" s="262" t="s">
        <v>477</v>
      </c>
      <c r="C47" s="253">
        <f>+C42/C39*100</f>
        <v>0.15137126623392902</v>
      </c>
      <c r="D47" s="253">
        <f>+D42/D39*100</f>
        <v>0.2124649557382038</v>
      </c>
      <c r="E47" s="254">
        <f>+E42/E39*100</f>
        <v>0.13341438942188968</v>
      </c>
    </row>
    <row r="48" spans="1:5" ht="24" customHeight="1" thickBot="1">
      <c r="A48" s="266" t="s">
        <v>495</v>
      </c>
      <c r="B48" s="267" t="s">
        <v>477</v>
      </c>
      <c r="C48" s="257">
        <f>+C42/C40*100</f>
        <v>0.6012550078029716</v>
      </c>
      <c r="D48" s="257">
        <f>+D42/D40*100</f>
        <v>0.8862466507251479</v>
      </c>
      <c r="E48" s="258">
        <f>+E42/E40*100</f>
        <v>0.6240894081235385</v>
      </c>
    </row>
    <row r="49" spans="1:5" ht="24" customHeight="1">
      <c r="A49" s="245" t="s">
        <v>466</v>
      </c>
      <c r="B49" s="268"/>
      <c r="C49" s="247"/>
      <c r="D49" s="247"/>
      <c r="E49" s="247"/>
    </row>
    <row r="50" spans="1:5" ht="24" customHeight="1">
      <c r="A50" s="249" t="s">
        <v>485</v>
      </c>
      <c r="B50" s="250" t="s">
        <v>499</v>
      </c>
      <c r="C50" s="251">
        <v>8989725</v>
      </c>
      <c r="D50" s="251">
        <v>10330552</v>
      </c>
      <c r="E50" s="251">
        <v>16862255</v>
      </c>
    </row>
    <row r="51" spans="1:5" ht="24" customHeight="1">
      <c r="A51" s="249" t="s">
        <v>4</v>
      </c>
      <c r="B51" s="255" t="s">
        <v>486</v>
      </c>
      <c r="C51" s="251">
        <v>1070363</v>
      </c>
      <c r="D51" s="251">
        <v>1581516</v>
      </c>
      <c r="E51" s="251">
        <v>1707399</v>
      </c>
    </row>
    <row r="52" spans="1:5" ht="21" customHeight="1">
      <c r="A52" s="249" t="s">
        <v>692</v>
      </c>
      <c r="B52" s="255" t="s">
        <v>486</v>
      </c>
      <c r="C52" s="251">
        <v>621467</v>
      </c>
      <c r="D52" s="251">
        <v>738470</v>
      </c>
      <c r="E52" s="251">
        <v>1184067</v>
      </c>
    </row>
    <row r="53" spans="1:5" ht="20.25" customHeight="1">
      <c r="A53" s="249" t="s">
        <v>498</v>
      </c>
      <c r="B53" s="255" t="s">
        <v>486</v>
      </c>
      <c r="C53" s="251">
        <v>7440</v>
      </c>
      <c r="D53" s="251">
        <v>4460</v>
      </c>
      <c r="E53" s="251">
        <v>2489</v>
      </c>
    </row>
    <row r="54" spans="1:5" ht="24" customHeight="1">
      <c r="A54" s="249" t="s">
        <v>489</v>
      </c>
      <c r="B54" s="255" t="s">
        <v>486</v>
      </c>
      <c r="C54" s="251">
        <v>13410</v>
      </c>
      <c r="D54" s="251">
        <v>18593</v>
      </c>
      <c r="E54" s="251">
        <v>31969</v>
      </c>
    </row>
    <row r="55" spans="1:5" ht="24" customHeight="1">
      <c r="A55" s="249" t="s">
        <v>490</v>
      </c>
      <c r="B55" s="255" t="s">
        <v>486</v>
      </c>
      <c r="C55" s="251">
        <v>2079</v>
      </c>
      <c r="D55" s="251">
        <v>2607</v>
      </c>
      <c r="E55" s="251">
        <v>2408</v>
      </c>
    </row>
    <row r="56" spans="1:5" ht="24" customHeight="1">
      <c r="A56" s="249" t="s">
        <v>491</v>
      </c>
      <c r="B56" s="262" t="s">
        <v>477</v>
      </c>
      <c r="C56" s="253">
        <f>+C51/C50*100</f>
        <v>11.906515494077961</v>
      </c>
      <c r="D56" s="253">
        <f>+D51/D50*100</f>
        <v>15.309114169310604</v>
      </c>
      <c r="E56" s="254">
        <f>+E51/E50*100</f>
        <v>10.125567428555671</v>
      </c>
    </row>
    <row r="57" spans="1:5" ht="24" customHeight="1">
      <c r="A57" s="249" t="s">
        <v>492</v>
      </c>
      <c r="B57" s="262" t="s">
        <v>477</v>
      </c>
      <c r="C57" s="253">
        <f>+C52/C50*100</f>
        <v>6.913081323399771</v>
      </c>
      <c r="D57" s="253">
        <f>+D52/D50*100</f>
        <v>7.148407945674151</v>
      </c>
      <c r="E57" s="254">
        <f>+E52/E50*100</f>
        <v>7.021996761405874</v>
      </c>
    </row>
    <row r="58" spans="1:5" ht="24" customHeight="1">
      <c r="A58" s="249" t="s">
        <v>493</v>
      </c>
      <c r="B58" s="262" t="s">
        <v>477</v>
      </c>
      <c r="C58" s="253">
        <f>+C53/C50*100</f>
        <v>0.08276115231556026</v>
      </c>
      <c r="D58" s="253">
        <f>+D53/D50*100</f>
        <v>0.043172910798958276</v>
      </c>
      <c r="E58" s="254">
        <f>+E53/E50*100</f>
        <v>0.014760777843770004</v>
      </c>
    </row>
    <row r="59" spans="1:5" ht="24" customHeight="1" thickBot="1">
      <c r="A59" s="266" t="s">
        <v>495</v>
      </c>
      <c r="B59" s="267" t="s">
        <v>477</v>
      </c>
      <c r="C59" s="257">
        <f>+C53/C51*100</f>
        <v>0.6950912914590658</v>
      </c>
      <c r="D59" s="257">
        <f>+D53/D51*100</f>
        <v>0.2820078962210942</v>
      </c>
      <c r="E59" s="258">
        <f>+E53/E51*100</f>
        <v>0.14577729048687507</v>
      </c>
    </row>
    <row r="60" spans="1:5" ht="24" customHeight="1">
      <c r="A60" s="245" t="s">
        <v>693</v>
      </c>
      <c r="B60" s="268"/>
      <c r="C60" s="247"/>
      <c r="D60" s="247"/>
      <c r="E60" s="247"/>
    </row>
    <row r="61" spans="1:5" ht="20.25" customHeight="1">
      <c r="A61" s="249" t="s">
        <v>485</v>
      </c>
      <c r="B61" s="250" t="s">
        <v>499</v>
      </c>
      <c r="C61" s="251">
        <v>867834</v>
      </c>
      <c r="D61" s="251">
        <v>838310</v>
      </c>
      <c r="E61" s="251">
        <v>1134109</v>
      </c>
    </row>
    <row r="62" spans="1:5" ht="24" customHeight="1">
      <c r="A62" s="249" t="s">
        <v>4</v>
      </c>
      <c r="B62" s="255" t="s">
        <v>486</v>
      </c>
      <c r="C62" s="251">
        <v>94655</v>
      </c>
      <c r="D62" s="251">
        <v>100812</v>
      </c>
      <c r="E62" s="251">
        <v>141827</v>
      </c>
    </row>
    <row r="63" spans="1:5" ht="21.75" customHeight="1">
      <c r="A63" s="249" t="s">
        <v>692</v>
      </c>
      <c r="B63" s="255" t="s">
        <v>486</v>
      </c>
      <c r="C63" s="251">
        <v>65351</v>
      </c>
      <c r="D63" s="251">
        <v>85401</v>
      </c>
      <c r="E63" s="251">
        <v>52052</v>
      </c>
    </row>
    <row r="64" spans="1:5" ht="24" customHeight="1">
      <c r="A64" s="249" t="s">
        <v>498</v>
      </c>
      <c r="B64" s="255" t="s">
        <v>486</v>
      </c>
      <c r="C64" s="251">
        <v>9048</v>
      </c>
      <c r="D64" s="251">
        <v>14091</v>
      </c>
      <c r="E64" s="251">
        <v>8915</v>
      </c>
    </row>
    <row r="65" spans="1:5" ht="24" customHeight="1">
      <c r="A65" s="249" t="s">
        <v>489</v>
      </c>
      <c r="B65" s="255" t="s">
        <v>486</v>
      </c>
      <c r="C65" s="251">
        <v>5503</v>
      </c>
      <c r="D65" s="251">
        <v>4164</v>
      </c>
      <c r="E65" s="251">
        <v>4867</v>
      </c>
    </row>
    <row r="66" spans="1:5" ht="24" customHeight="1">
      <c r="A66" s="249" t="s">
        <v>490</v>
      </c>
      <c r="B66" s="255" t="s">
        <v>486</v>
      </c>
      <c r="C66" s="251">
        <v>2942</v>
      </c>
      <c r="D66" s="251">
        <v>3550</v>
      </c>
      <c r="E66" s="251">
        <v>495</v>
      </c>
    </row>
    <row r="67" spans="1:5" ht="24" customHeight="1">
      <c r="A67" s="249" t="s">
        <v>491</v>
      </c>
      <c r="B67" s="262" t="s">
        <v>477</v>
      </c>
      <c r="C67" s="253">
        <f>+C62/C61*100</f>
        <v>10.907039825588765</v>
      </c>
      <c r="D67" s="253">
        <f>+D62/D61*100</f>
        <v>12.025622979566032</v>
      </c>
      <c r="E67" s="254">
        <f>+E62/E61*100</f>
        <v>12.505588087212075</v>
      </c>
    </row>
    <row r="68" spans="1:5" ht="24" customHeight="1">
      <c r="A68" s="249" t="s">
        <v>492</v>
      </c>
      <c r="B68" s="262" t="s">
        <v>477</v>
      </c>
      <c r="C68" s="254">
        <f>+C63/C61*100</f>
        <v>7.53035718812584</v>
      </c>
      <c r="D68" s="254">
        <f>+D63/D61*100</f>
        <v>10.18728155455619</v>
      </c>
      <c r="E68" s="254">
        <f>+E63/E61*100</f>
        <v>4.589682296851537</v>
      </c>
    </row>
    <row r="69" spans="1:5" ht="24" customHeight="1">
      <c r="A69" s="249" t="s">
        <v>493</v>
      </c>
      <c r="B69" s="262" t="s">
        <v>477</v>
      </c>
      <c r="C69" s="253">
        <f>+C64/C61*100</f>
        <v>1.0425957037866689</v>
      </c>
      <c r="D69" s="253">
        <f>+D64/D61*100</f>
        <v>1.6808817740454007</v>
      </c>
      <c r="E69" s="254">
        <f>+E64/E61*100</f>
        <v>0.7860796449018569</v>
      </c>
    </row>
    <row r="70" spans="1:5" ht="24" customHeight="1" thickBot="1">
      <c r="A70" s="266" t="s">
        <v>495</v>
      </c>
      <c r="B70" s="267" t="s">
        <v>477</v>
      </c>
      <c r="C70" s="257">
        <f>+C64/C62*100</f>
        <v>9.5589245153452</v>
      </c>
      <c r="D70" s="257">
        <f>+D64/D62*100</f>
        <v>13.97750267825259</v>
      </c>
      <c r="E70" s="258">
        <f>+E64/E62*100</f>
        <v>6.285827099212421</v>
      </c>
    </row>
    <row r="71" spans="1:5" ht="15.75" customHeight="1">
      <c r="A71" s="676" t="s">
        <v>696</v>
      </c>
      <c r="B71" s="676"/>
      <c r="C71" s="676"/>
      <c r="D71" s="676"/>
      <c r="E71" s="676"/>
    </row>
  </sheetData>
  <mergeCells count="5">
    <mergeCell ref="A1:E1"/>
    <mergeCell ref="A71:E71"/>
    <mergeCell ref="A2:A3"/>
    <mergeCell ref="B2:B3"/>
    <mergeCell ref="C2:E2"/>
  </mergeCells>
  <printOptions/>
  <pageMargins left="0.6692913385826772" right="0.2362204724409449" top="0.4330708661417323" bottom="0.7086614173228347" header="0.15748031496062992" footer="0.15748031496062992"/>
  <pageSetup horizontalDpi="600" verticalDpi="600" orientation="portrait" paperSize="9" scale="90" r:id="rId1"/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Q53"/>
  <sheetViews>
    <sheetView showGridLines="0" zoomScaleSheetLayoutView="100" workbookViewId="0" topLeftCell="A1">
      <selection activeCell="A24" sqref="A24:M24"/>
    </sheetView>
  </sheetViews>
  <sheetFormatPr defaultColWidth="9.140625" defaultRowHeight="13.5" customHeight="1"/>
  <cols>
    <col min="1" max="1" width="22.57421875" style="313" customWidth="1"/>
    <col min="2" max="6" width="11.421875" style="313" customWidth="1"/>
    <col min="7" max="7" width="12.140625" style="313" customWidth="1"/>
    <col min="8" max="8" width="12.00390625" style="313" customWidth="1"/>
    <col min="9" max="9" width="11.7109375" style="313" customWidth="1"/>
    <col min="10" max="10" width="12.8515625" style="313" customWidth="1"/>
    <col min="11" max="11" width="12.140625" style="313" customWidth="1"/>
    <col min="12" max="12" width="11.421875" style="313" customWidth="1"/>
    <col min="13" max="13" width="10.00390625" style="313" customWidth="1"/>
    <col min="14" max="14" width="10.28125" style="313" customWidth="1"/>
    <col min="15" max="16384" width="9.140625" style="313" customWidth="1"/>
  </cols>
  <sheetData>
    <row r="1" spans="1:17" ht="75" customHeight="1">
      <c r="A1" s="781" t="str">
        <f>CONCATENATE("Informacja z wykonania budżetów powiatów za   ",$C$51," ",$B$52," roku")</f>
        <v>Informacja z wykonania budżetów powiatów za   2 kwartały 2008 roku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327"/>
      <c r="O1" s="327"/>
      <c r="P1" s="327"/>
      <c r="Q1" s="327"/>
    </row>
    <row r="2" spans="1:17" ht="13.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327"/>
      <c r="O2" s="327"/>
      <c r="P2" s="327"/>
      <c r="Q2" s="327"/>
    </row>
    <row r="3" spans="1:17" ht="13.5" customHeight="1">
      <c r="A3" s="639" t="s">
        <v>604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327"/>
      <c r="O3" s="327"/>
      <c r="P3" s="327"/>
      <c r="Q3" s="327"/>
    </row>
    <row r="4" spans="1:17" ht="13.5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spans="1:17" ht="13.5" customHeight="1">
      <c r="A5" s="327"/>
      <c r="B5" s="314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328"/>
      <c r="O5" s="328"/>
      <c r="P5" s="328"/>
      <c r="Q5" s="328"/>
    </row>
    <row r="6" spans="1:17" ht="13.5" customHeight="1">
      <c r="A6" s="641" t="s">
        <v>460</v>
      </c>
      <c r="B6" s="640" t="s">
        <v>605</v>
      </c>
      <c r="C6" s="628" t="s">
        <v>606</v>
      </c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30"/>
      <c r="O6" s="628" t="s">
        <v>607</v>
      </c>
      <c r="P6" s="629"/>
      <c r="Q6" s="630"/>
    </row>
    <row r="7" spans="1:17" ht="13.5" customHeight="1">
      <c r="A7" s="642"/>
      <c r="B7" s="636"/>
      <c r="C7" s="634" t="s">
        <v>608</v>
      </c>
      <c r="D7" s="634" t="s">
        <v>609</v>
      </c>
      <c r="E7" s="634" t="s">
        <v>610</v>
      </c>
      <c r="F7" s="634" t="s">
        <v>611</v>
      </c>
      <c r="G7" s="634" t="s">
        <v>612</v>
      </c>
      <c r="H7" s="634" t="s">
        <v>613</v>
      </c>
      <c r="I7" s="652" t="s">
        <v>614</v>
      </c>
      <c r="J7" s="634" t="s">
        <v>615</v>
      </c>
      <c r="K7" s="634" t="s">
        <v>616</v>
      </c>
      <c r="L7" s="634" t="s">
        <v>617</v>
      </c>
      <c r="M7" s="634" t="s">
        <v>618</v>
      </c>
      <c r="N7" s="636" t="s">
        <v>619</v>
      </c>
      <c r="O7" s="635" t="s">
        <v>620</v>
      </c>
      <c r="P7" s="635" t="s">
        <v>621</v>
      </c>
      <c r="Q7" s="635" t="s">
        <v>622</v>
      </c>
    </row>
    <row r="8" spans="1:17" ht="13.5" customHeight="1">
      <c r="A8" s="642"/>
      <c r="B8" s="636"/>
      <c r="C8" s="635"/>
      <c r="D8" s="635"/>
      <c r="E8" s="635"/>
      <c r="F8" s="635"/>
      <c r="G8" s="635"/>
      <c r="H8" s="635"/>
      <c r="I8" s="652"/>
      <c r="J8" s="635"/>
      <c r="K8" s="635"/>
      <c r="L8" s="635"/>
      <c r="M8" s="635"/>
      <c r="N8" s="636"/>
      <c r="O8" s="635"/>
      <c r="P8" s="635"/>
      <c r="Q8" s="635"/>
    </row>
    <row r="9" spans="1:17" ht="13.5" customHeight="1">
      <c r="A9" s="642"/>
      <c r="B9" s="636"/>
      <c r="C9" s="635"/>
      <c r="D9" s="635"/>
      <c r="E9" s="635"/>
      <c r="F9" s="635"/>
      <c r="G9" s="635"/>
      <c r="H9" s="635"/>
      <c r="I9" s="652"/>
      <c r="J9" s="635"/>
      <c r="K9" s="635"/>
      <c r="L9" s="635"/>
      <c r="M9" s="635"/>
      <c r="N9" s="636"/>
      <c r="O9" s="635"/>
      <c r="P9" s="635"/>
      <c r="Q9" s="635"/>
    </row>
    <row r="10" spans="1:17" ht="11.25" customHeight="1">
      <c r="A10" s="642"/>
      <c r="B10" s="636"/>
      <c r="C10" s="635"/>
      <c r="D10" s="635"/>
      <c r="E10" s="635"/>
      <c r="F10" s="635"/>
      <c r="G10" s="635"/>
      <c r="H10" s="635"/>
      <c r="I10" s="652"/>
      <c r="J10" s="635"/>
      <c r="K10" s="635"/>
      <c r="L10" s="635"/>
      <c r="M10" s="635"/>
      <c r="N10" s="636"/>
      <c r="O10" s="635"/>
      <c r="P10" s="635"/>
      <c r="Q10" s="635"/>
    </row>
    <row r="11" spans="1:17" ht="11.25" customHeight="1">
      <c r="A11" s="643"/>
      <c r="B11" s="634"/>
      <c r="C11" s="635"/>
      <c r="D11" s="635"/>
      <c r="E11" s="635"/>
      <c r="F11" s="635"/>
      <c r="G11" s="635"/>
      <c r="H11" s="635"/>
      <c r="I11" s="653"/>
      <c r="J11" s="635"/>
      <c r="K11" s="635"/>
      <c r="L11" s="635"/>
      <c r="M11" s="635"/>
      <c r="N11" s="634"/>
      <c r="O11" s="635"/>
      <c r="P11" s="635"/>
      <c r="Q11" s="635"/>
    </row>
    <row r="12" spans="1:17" ht="13.5" customHeight="1">
      <c r="A12" s="312">
        <v>1</v>
      </c>
      <c r="B12" s="312">
        <v>2</v>
      </c>
      <c r="C12" s="312">
        <v>3</v>
      </c>
      <c r="D12" s="312">
        <v>4</v>
      </c>
      <c r="E12" s="312">
        <v>5</v>
      </c>
      <c r="F12" s="312">
        <v>6</v>
      </c>
      <c r="G12" s="312">
        <v>7</v>
      </c>
      <c r="H12" s="312">
        <v>8</v>
      </c>
      <c r="I12" s="312">
        <v>9</v>
      </c>
      <c r="J12" s="312">
        <v>10</v>
      </c>
      <c r="K12" s="312">
        <v>11</v>
      </c>
      <c r="L12" s="312">
        <v>12</v>
      </c>
      <c r="M12" s="312">
        <v>13</v>
      </c>
      <c r="N12" s="312">
        <v>14</v>
      </c>
      <c r="O12" s="312">
        <v>15</v>
      </c>
      <c r="P12" s="312">
        <v>16</v>
      </c>
      <c r="Q12" s="312">
        <v>17</v>
      </c>
    </row>
    <row r="13" spans="1:17" ht="21.75" customHeight="1">
      <c r="A13" s="329" t="s">
        <v>623</v>
      </c>
      <c r="B13" s="330">
        <f>2433563765.89</f>
        <v>2433563765.89</v>
      </c>
      <c r="C13" s="330">
        <f>2432118453.39</f>
        <v>2432118453.39</v>
      </c>
      <c r="D13" s="330">
        <f>122294354.23</f>
        <v>122294354.23</v>
      </c>
      <c r="E13" s="330">
        <f>29181588.31</f>
        <v>29181588.31</v>
      </c>
      <c r="F13" s="330">
        <f>39631484.46</f>
        <v>39631484.46</v>
      </c>
      <c r="G13" s="330">
        <f>52875805.36</f>
        <v>52875805.36</v>
      </c>
      <c r="H13" s="330">
        <f>605476.1</f>
        <v>605476.1</v>
      </c>
      <c r="I13" s="330">
        <f>0</f>
        <v>0</v>
      </c>
      <c r="J13" s="330">
        <f>2274431045.87</f>
        <v>2274431045.87</v>
      </c>
      <c r="K13" s="330">
        <f>29430864.16</f>
        <v>29430864.16</v>
      </c>
      <c r="L13" s="330">
        <f>5289204.74</f>
        <v>5289204.74</v>
      </c>
      <c r="M13" s="330">
        <f>671664.39</f>
        <v>671664.39</v>
      </c>
      <c r="N13" s="330">
        <f>1320</f>
        <v>1320</v>
      </c>
      <c r="O13" s="330">
        <f>1445312.5</f>
        <v>1445312.5</v>
      </c>
      <c r="P13" s="330">
        <f>1445312.5</f>
        <v>1445312.5</v>
      </c>
      <c r="Q13" s="330">
        <f>0</f>
        <v>0</v>
      </c>
    </row>
    <row r="14" spans="1:17" ht="20.25" customHeight="1">
      <c r="A14" s="428" t="s">
        <v>624</v>
      </c>
      <c r="B14" s="330">
        <f>450725920</f>
        <v>450725920</v>
      </c>
      <c r="C14" s="330">
        <f>450725920</f>
        <v>450725920</v>
      </c>
      <c r="D14" s="330">
        <f>5200000</f>
        <v>5200000</v>
      </c>
      <c r="E14" s="330">
        <f>5200000</f>
        <v>5200000</v>
      </c>
      <c r="F14" s="330">
        <f>0</f>
        <v>0</v>
      </c>
      <c r="G14" s="330">
        <f>0</f>
        <v>0</v>
      </c>
      <c r="H14" s="330">
        <f>0</f>
        <v>0</v>
      </c>
      <c r="I14" s="330">
        <f>0</f>
        <v>0</v>
      </c>
      <c r="J14" s="330">
        <f>445525920</f>
        <v>445525920</v>
      </c>
      <c r="K14" s="330">
        <f>0</f>
        <v>0</v>
      </c>
      <c r="L14" s="330">
        <f>0</f>
        <v>0</v>
      </c>
      <c r="M14" s="330">
        <f>0</f>
        <v>0</v>
      </c>
      <c r="N14" s="330">
        <f>0</f>
        <v>0</v>
      </c>
      <c r="O14" s="330">
        <f>0</f>
        <v>0</v>
      </c>
      <c r="P14" s="330">
        <f>0</f>
        <v>0</v>
      </c>
      <c r="Q14" s="330">
        <f>0</f>
        <v>0</v>
      </c>
    </row>
    <row r="15" spans="1:17" ht="15" customHeight="1">
      <c r="A15" s="429" t="s">
        <v>625</v>
      </c>
      <c r="B15" s="330">
        <f>13900000</f>
        <v>13900000</v>
      </c>
      <c r="C15" s="330">
        <f>13900000</f>
        <v>13900000</v>
      </c>
      <c r="D15" s="330">
        <f>0</f>
        <v>0</v>
      </c>
      <c r="E15" s="330">
        <f>0</f>
        <v>0</v>
      </c>
      <c r="F15" s="330">
        <f>0</f>
        <v>0</v>
      </c>
      <c r="G15" s="330">
        <f>0</f>
        <v>0</v>
      </c>
      <c r="H15" s="330">
        <f>0</f>
        <v>0</v>
      </c>
      <c r="I15" s="330">
        <f>0</f>
        <v>0</v>
      </c>
      <c r="J15" s="330">
        <f>13900000</f>
        <v>13900000</v>
      </c>
      <c r="K15" s="330">
        <f>0</f>
        <v>0</v>
      </c>
      <c r="L15" s="330">
        <f>0</f>
        <v>0</v>
      </c>
      <c r="M15" s="330">
        <f>0</f>
        <v>0</v>
      </c>
      <c r="N15" s="330">
        <f>0</f>
        <v>0</v>
      </c>
      <c r="O15" s="330">
        <f>0</f>
        <v>0</v>
      </c>
      <c r="P15" s="330">
        <f>0</f>
        <v>0</v>
      </c>
      <c r="Q15" s="330">
        <f>0</f>
        <v>0</v>
      </c>
    </row>
    <row r="16" spans="1:17" ht="16.5" customHeight="1">
      <c r="A16" s="429" t="s">
        <v>626</v>
      </c>
      <c r="B16" s="330">
        <f>436825920</f>
        <v>436825920</v>
      </c>
      <c r="C16" s="330">
        <f>436825920</f>
        <v>436825920</v>
      </c>
      <c r="D16" s="330">
        <f>5200000</f>
        <v>5200000</v>
      </c>
      <c r="E16" s="330">
        <f>5200000</f>
        <v>5200000</v>
      </c>
      <c r="F16" s="330">
        <f>0</f>
        <v>0</v>
      </c>
      <c r="G16" s="330">
        <f>0</f>
        <v>0</v>
      </c>
      <c r="H16" s="330">
        <f>0</f>
        <v>0</v>
      </c>
      <c r="I16" s="330">
        <f>0</f>
        <v>0</v>
      </c>
      <c r="J16" s="330">
        <f>431625920</f>
        <v>431625920</v>
      </c>
      <c r="K16" s="330">
        <f>0</f>
        <v>0</v>
      </c>
      <c r="L16" s="330">
        <f>0</f>
        <v>0</v>
      </c>
      <c r="M16" s="330">
        <f>0</f>
        <v>0</v>
      </c>
      <c r="N16" s="330">
        <f>0</f>
        <v>0</v>
      </c>
      <c r="O16" s="330">
        <f>0</f>
        <v>0</v>
      </c>
      <c r="P16" s="330">
        <f>0</f>
        <v>0</v>
      </c>
      <c r="Q16" s="330">
        <f>0</f>
        <v>0</v>
      </c>
    </row>
    <row r="17" spans="1:17" ht="21" customHeight="1">
      <c r="A17" s="430" t="s">
        <v>627</v>
      </c>
      <c r="B17" s="330">
        <f>1975355358.15</f>
        <v>1975355358.15</v>
      </c>
      <c r="C17" s="330">
        <f>1973910045.65</f>
        <v>1973910045.65</v>
      </c>
      <c r="D17" s="330">
        <f>115580357.85</f>
        <v>115580357.85</v>
      </c>
      <c r="E17" s="330">
        <f>23706737.33</f>
        <v>23706737.33</v>
      </c>
      <c r="F17" s="330">
        <f>39627451.7</f>
        <v>39627451.7</v>
      </c>
      <c r="G17" s="330">
        <f>52246168.82</f>
        <v>52246168.82</v>
      </c>
      <c r="H17" s="330">
        <f>0</f>
        <v>0</v>
      </c>
      <c r="I17" s="330">
        <f>0</f>
        <v>0</v>
      </c>
      <c r="J17" s="330">
        <f>1828905107.48</f>
        <v>1828905107.48</v>
      </c>
      <c r="K17" s="330">
        <f>29424580.32</f>
        <v>29424580.32</v>
      </c>
      <c r="L17" s="330">
        <f>0</f>
        <v>0</v>
      </c>
      <c r="M17" s="330">
        <f>0</f>
        <v>0</v>
      </c>
      <c r="N17" s="330">
        <f>0</f>
        <v>0</v>
      </c>
      <c r="O17" s="330">
        <f>1445312.5</f>
        <v>1445312.5</v>
      </c>
      <c r="P17" s="330">
        <f>1445312.5</f>
        <v>1445312.5</v>
      </c>
      <c r="Q17" s="330">
        <f>0</f>
        <v>0</v>
      </c>
    </row>
    <row r="18" spans="1:17" ht="15" customHeight="1">
      <c r="A18" s="431" t="s">
        <v>628</v>
      </c>
      <c r="B18" s="330">
        <f>29896499.35</f>
        <v>29896499.35</v>
      </c>
      <c r="C18" s="330">
        <f>29896499.35</f>
        <v>29896499.35</v>
      </c>
      <c r="D18" s="330">
        <f>12445079.8</f>
        <v>12445079.8</v>
      </c>
      <c r="E18" s="330">
        <f>12184842.8</f>
        <v>12184842.8</v>
      </c>
      <c r="F18" s="330">
        <f>50000</f>
        <v>50000</v>
      </c>
      <c r="G18" s="330">
        <f>210237</f>
        <v>210237</v>
      </c>
      <c r="H18" s="330">
        <f>0</f>
        <v>0</v>
      </c>
      <c r="I18" s="330">
        <f>0</f>
        <v>0</v>
      </c>
      <c r="J18" s="330">
        <f>16451419.55</f>
        <v>16451419.55</v>
      </c>
      <c r="K18" s="330">
        <f>1000000</f>
        <v>1000000</v>
      </c>
      <c r="L18" s="330">
        <f>0</f>
        <v>0</v>
      </c>
      <c r="M18" s="330">
        <f>0</f>
        <v>0</v>
      </c>
      <c r="N18" s="330">
        <f>0</f>
        <v>0</v>
      </c>
      <c r="O18" s="330">
        <f>0</f>
        <v>0</v>
      </c>
      <c r="P18" s="330">
        <f>0</f>
        <v>0</v>
      </c>
      <c r="Q18" s="330">
        <f>0</f>
        <v>0</v>
      </c>
    </row>
    <row r="19" spans="1:17" ht="15" customHeight="1">
      <c r="A19" s="432" t="s">
        <v>629</v>
      </c>
      <c r="B19" s="330">
        <f>1945458858.8</f>
        <v>1945458858.8</v>
      </c>
      <c r="C19" s="330">
        <f>1944013546.3</f>
        <v>1944013546.3</v>
      </c>
      <c r="D19" s="330">
        <f>103135278.05</f>
        <v>103135278.05</v>
      </c>
      <c r="E19" s="330">
        <f>11521894.53</f>
        <v>11521894.53</v>
      </c>
      <c r="F19" s="330">
        <f>39577451.7</f>
        <v>39577451.7</v>
      </c>
      <c r="G19" s="330">
        <f>52035931.82</f>
        <v>52035931.82</v>
      </c>
      <c r="H19" s="330">
        <f>0</f>
        <v>0</v>
      </c>
      <c r="I19" s="330">
        <f>0</f>
        <v>0</v>
      </c>
      <c r="J19" s="330">
        <f>1812453687.93</f>
        <v>1812453687.93</v>
      </c>
      <c r="K19" s="330">
        <f>28424580.32</f>
        <v>28424580.32</v>
      </c>
      <c r="L19" s="330">
        <f>0</f>
        <v>0</v>
      </c>
      <c r="M19" s="330">
        <f>0</f>
        <v>0</v>
      </c>
      <c r="N19" s="330">
        <f>0</f>
        <v>0</v>
      </c>
      <c r="O19" s="330">
        <f>1445312.5</f>
        <v>1445312.5</v>
      </c>
      <c r="P19" s="330">
        <f>1445312.5</f>
        <v>1445312.5</v>
      </c>
      <c r="Q19" s="330">
        <f>0</f>
        <v>0</v>
      </c>
    </row>
    <row r="20" spans="1:17" ht="17.25" customHeight="1">
      <c r="A20" s="433" t="s">
        <v>630</v>
      </c>
      <c r="B20" s="330">
        <f>123627.48</f>
        <v>123627.48</v>
      </c>
      <c r="C20" s="330">
        <f>123627.48</f>
        <v>123627.48</v>
      </c>
      <c r="D20" s="330">
        <f>0</f>
        <v>0</v>
      </c>
      <c r="E20" s="330">
        <f>0</f>
        <v>0</v>
      </c>
      <c r="F20" s="330">
        <f>0</f>
        <v>0</v>
      </c>
      <c r="G20" s="330">
        <f>0</f>
        <v>0</v>
      </c>
      <c r="H20" s="330">
        <f>0</f>
        <v>0</v>
      </c>
      <c r="I20" s="330">
        <f>0</f>
        <v>0</v>
      </c>
      <c r="J20" s="330">
        <f>0</f>
        <v>0</v>
      </c>
      <c r="K20" s="330">
        <f>0</f>
        <v>0</v>
      </c>
      <c r="L20" s="330">
        <f>123627.48</f>
        <v>123627.48</v>
      </c>
      <c r="M20" s="330">
        <f>0</f>
        <v>0</v>
      </c>
      <c r="N20" s="330">
        <f>0</f>
        <v>0</v>
      </c>
      <c r="O20" s="330">
        <f>0</f>
        <v>0</v>
      </c>
      <c r="P20" s="330">
        <f>0</f>
        <v>0</v>
      </c>
      <c r="Q20" s="330">
        <f>0</f>
        <v>0</v>
      </c>
    </row>
    <row r="21" spans="1:17" ht="20.25" customHeight="1">
      <c r="A21" s="428" t="s">
        <v>631</v>
      </c>
      <c r="B21" s="330">
        <f>7358860.26</f>
        <v>7358860.26</v>
      </c>
      <c r="C21" s="330">
        <f>7358860.26</f>
        <v>7358860.26</v>
      </c>
      <c r="D21" s="330">
        <f>1513996.38</f>
        <v>1513996.38</v>
      </c>
      <c r="E21" s="330">
        <f>274850.98</f>
        <v>274850.98</v>
      </c>
      <c r="F21" s="330">
        <f>4032.76</f>
        <v>4032.76</v>
      </c>
      <c r="G21" s="330">
        <f>629636.54</f>
        <v>629636.54</v>
      </c>
      <c r="H21" s="330">
        <f>605476.1</f>
        <v>605476.1</v>
      </c>
      <c r="I21" s="330">
        <f>0</f>
        <v>0</v>
      </c>
      <c r="J21" s="330">
        <f>18.39</f>
        <v>18.39</v>
      </c>
      <c r="K21" s="330">
        <f>6283.84</f>
        <v>6283.84</v>
      </c>
      <c r="L21" s="330">
        <f>5165577.26</f>
        <v>5165577.26</v>
      </c>
      <c r="M21" s="330">
        <f>671664.39</f>
        <v>671664.39</v>
      </c>
      <c r="N21" s="330">
        <f>1320</f>
        <v>1320</v>
      </c>
      <c r="O21" s="330">
        <f>0</f>
        <v>0</v>
      </c>
      <c r="P21" s="330">
        <f>0</f>
        <v>0</v>
      </c>
      <c r="Q21" s="330">
        <f>0</f>
        <v>0</v>
      </c>
    </row>
    <row r="22" spans="1:17" ht="15" customHeight="1">
      <c r="A22" s="432" t="s">
        <v>632</v>
      </c>
      <c r="B22" s="330">
        <f>5399770.73</f>
        <v>5399770.73</v>
      </c>
      <c r="C22" s="330">
        <f>5399770.73</f>
        <v>5399770.73</v>
      </c>
      <c r="D22" s="330">
        <f>69261.37</f>
        <v>69261.37</v>
      </c>
      <c r="E22" s="330">
        <f>5652.1</f>
        <v>5652.1</v>
      </c>
      <c r="F22" s="330">
        <f>204.87</f>
        <v>204.87</v>
      </c>
      <c r="G22" s="330">
        <f>63404.4</f>
        <v>63404.4</v>
      </c>
      <c r="H22" s="330">
        <f>0</f>
        <v>0</v>
      </c>
      <c r="I22" s="330">
        <f>0</f>
        <v>0</v>
      </c>
      <c r="J22" s="330">
        <f>0</f>
        <v>0</v>
      </c>
      <c r="K22" s="330">
        <f>4778.84</f>
        <v>4778.84</v>
      </c>
      <c r="L22" s="330">
        <f>5023120.51</f>
        <v>5023120.51</v>
      </c>
      <c r="M22" s="330">
        <f>301290.01</f>
        <v>301290.01</v>
      </c>
      <c r="N22" s="330">
        <f>1320</f>
        <v>1320</v>
      </c>
      <c r="O22" s="330">
        <f>0</f>
        <v>0</v>
      </c>
      <c r="P22" s="330">
        <f>0</f>
        <v>0</v>
      </c>
      <c r="Q22" s="330">
        <f>0</f>
        <v>0</v>
      </c>
    </row>
    <row r="23" spans="1:17" ht="19.5" customHeight="1" thickBot="1">
      <c r="A23" s="434" t="s">
        <v>633</v>
      </c>
      <c r="B23" s="330">
        <f>1959089.53</f>
        <v>1959089.53</v>
      </c>
      <c r="C23" s="330">
        <f>1959089.53</f>
        <v>1959089.53</v>
      </c>
      <c r="D23" s="330">
        <f>1444735.01</f>
        <v>1444735.01</v>
      </c>
      <c r="E23" s="330">
        <f>269198.88</f>
        <v>269198.88</v>
      </c>
      <c r="F23" s="330">
        <f>3827.89</f>
        <v>3827.89</v>
      </c>
      <c r="G23" s="330">
        <f>566232.14</f>
        <v>566232.14</v>
      </c>
      <c r="H23" s="330">
        <f>605476.1</f>
        <v>605476.1</v>
      </c>
      <c r="I23" s="330">
        <f>0</f>
        <v>0</v>
      </c>
      <c r="J23" s="330">
        <f>18.39</f>
        <v>18.39</v>
      </c>
      <c r="K23" s="330">
        <f>1505</f>
        <v>1505</v>
      </c>
      <c r="L23" s="330">
        <f>142456.75</f>
        <v>142456.75</v>
      </c>
      <c r="M23" s="330">
        <f>370374.38</f>
        <v>370374.38</v>
      </c>
      <c r="N23" s="330">
        <f>0</f>
        <v>0</v>
      </c>
      <c r="O23" s="330">
        <f>0</f>
        <v>0</v>
      </c>
      <c r="P23" s="330">
        <f>0</f>
        <v>0</v>
      </c>
      <c r="Q23" s="330">
        <f>0</f>
        <v>0</v>
      </c>
    </row>
    <row r="24" spans="1:17" ht="75" customHeight="1">
      <c r="A24" s="781" t="str">
        <f>CONCATENATE("Informacja z wykonania budżetów powiatów za  ",$C$51," ",$B$52," roku")</f>
        <v>Informacja z wykonania budżetów powiatów za  2 kwartały 2008 roku</v>
      </c>
      <c r="B24" s="781"/>
      <c r="C24" s="781"/>
      <c r="D24" s="781"/>
      <c r="E24" s="781"/>
      <c r="F24" s="781"/>
      <c r="G24" s="781"/>
      <c r="H24" s="781"/>
      <c r="I24" s="781"/>
      <c r="J24" s="781"/>
      <c r="K24" s="781"/>
      <c r="L24" s="781"/>
      <c r="M24" s="781"/>
      <c r="N24" s="327"/>
      <c r="O24" s="327"/>
      <c r="P24" s="327"/>
      <c r="Q24" s="327"/>
    </row>
    <row r="25" spans="1:17" ht="13.5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327"/>
      <c r="O25" s="327"/>
      <c r="P25" s="327"/>
      <c r="Q25" s="327"/>
    </row>
    <row r="26" spans="1:17" ht="13.5" customHeight="1">
      <c r="A26" s="327"/>
      <c r="B26" s="639" t="s">
        <v>662</v>
      </c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327"/>
      <c r="O26" s="327"/>
      <c r="P26" s="327"/>
      <c r="Q26" s="327"/>
    </row>
    <row r="27" spans="1:17" ht="13.5" customHeight="1">
      <c r="A27" s="327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</row>
    <row r="28" spans="1:17" ht="13.5" customHeight="1">
      <c r="A28" s="327"/>
      <c r="B28" s="622" t="s">
        <v>460</v>
      </c>
      <c r="C28" s="623"/>
      <c r="D28" s="623"/>
      <c r="E28" s="624"/>
      <c r="F28" s="703" t="s">
        <v>663</v>
      </c>
      <c r="G28" s="627" t="s">
        <v>664</v>
      </c>
      <c r="H28" s="617"/>
      <c r="I28" s="617"/>
      <c r="J28" s="617"/>
      <c r="K28" s="617"/>
      <c r="L28" s="618"/>
      <c r="M28" s="327"/>
      <c r="N28" s="327"/>
      <c r="O28" s="327"/>
      <c r="P28" s="327"/>
      <c r="Q28" s="327"/>
    </row>
    <row r="29" spans="1:17" ht="13.5" customHeight="1">
      <c r="A29" s="327"/>
      <c r="B29" s="625"/>
      <c r="C29" s="615"/>
      <c r="D29" s="615"/>
      <c r="E29" s="616"/>
      <c r="F29" s="704"/>
      <c r="G29" s="706" t="s">
        <v>665</v>
      </c>
      <c r="H29" s="650" t="s">
        <v>610</v>
      </c>
      <c r="I29" s="650" t="s">
        <v>611</v>
      </c>
      <c r="J29" s="650" t="s">
        <v>642</v>
      </c>
      <c r="K29" s="650" t="s">
        <v>666</v>
      </c>
      <c r="L29" s="651" t="s">
        <v>667</v>
      </c>
      <c r="M29" s="327"/>
      <c r="N29" s="327"/>
      <c r="O29" s="327"/>
      <c r="P29" s="327"/>
      <c r="Q29" s="327"/>
    </row>
    <row r="30" spans="1:17" ht="13.5" customHeight="1">
      <c r="A30" s="327"/>
      <c r="B30" s="625"/>
      <c r="C30" s="615"/>
      <c r="D30" s="615"/>
      <c r="E30" s="616"/>
      <c r="F30" s="704"/>
      <c r="G30" s="706"/>
      <c r="H30" s="650"/>
      <c r="I30" s="650"/>
      <c r="J30" s="650"/>
      <c r="K30" s="650"/>
      <c r="L30" s="651"/>
      <c r="M30" s="327"/>
      <c r="N30" s="327"/>
      <c r="O30" s="327"/>
      <c r="P30" s="327"/>
      <c r="Q30" s="327"/>
    </row>
    <row r="31" spans="1:17" ht="11.25" customHeight="1">
      <c r="A31" s="327"/>
      <c r="B31" s="625"/>
      <c r="C31" s="615"/>
      <c r="D31" s="615"/>
      <c r="E31" s="616"/>
      <c r="F31" s="704"/>
      <c r="G31" s="706"/>
      <c r="H31" s="650"/>
      <c r="I31" s="650"/>
      <c r="J31" s="650"/>
      <c r="K31" s="650"/>
      <c r="L31" s="651"/>
      <c r="M31" s="327"/>
      <c r="N31" s="327"/>
      <c r="O31" s="327"/>
      <c r="P31" s="327"/>
      <c r="Q31" s="327"/>
    </row>
    <row r="32" spans="1:17" ht="11.25" customHeight="1">
      <c r="A32" s="327"/>
      <c r="B32" s="700"/>
      <c r="C32" s="701"/>
      <c r="D32" s="701"/>
      <c r="E32" s="702"/>
      <c r="F32" s="705"/>
      <c r="G32" s="706"/>
      <c r="H32" s="650"/>
      <c r="I32" s="650"/>
      <c r="J32" s="650"/>
      <c r="K32" s="650"/>
      <c r="L32" s="651"/>
      <c r="M32" s="327"/>
      <c r="N32" s="327"/>
      <c r="O32" s="327"/>
      <c r="P32" s="327"/>
      <c r="Q32" s="327"/>
    </row>
    <row r="33" spans="1:17" ht="13.5" customHeight="1">
      <c r="A33" s="327"/>
      <c r="B33" s="650">
        <v>1</v>
      </c>
      <c r="C33" s="650"/>
      <c r="D33" s="650"/>
      <c r="E33" s="650"/>
      <c r="F33" s="332">
        <v>2</v>
      </c>
      <c r="G33" s="332">
        <v>3</v>
      </c>
      <c r="H33" s="332">
        <v>4</v>
      </c>
      <c r="I33" s="332">
        <v>5</v>
      </c>
      <c r="J33" s="332">
        <v>6</v>
      </c>
      <c r="K33" s="332">
        <v>7</v>
      </c>
      <c r="L33" s="333">
        <v>8</v>
      </c>
      <c r="M33" s="327"/>
      <c r="N33" s="327"/>
      <c r="O33" s="327"/>
      <c r="P33" s="327"/>
      <c r="Q33" s="327"/>
    </row>
    <row r="34" spans="1:17" ht="33.75" customHeight="1">
      <c r="A34" s="327"/>
      <c r="B34" s="619" t="s">
        <v>668</v>
      </c>
      <c r="C34" s="620"/>
      <c r="D34" s="620"/>
      <c r="E34" s="621"/>
      <c r="F34" s="330">
        <f>1067386404.39</f>
        <v>1067386404.39</v>
      </c>
      <c r="G34" s="330">
        <f>755309844.01</f>
        <v>755309844.01</v>
      </c>
      <c r="H34" s="330">
        <f>8636025.35</f>
        <v>8636025.35</v>
      </c>
      <c r="I34" s="330">
        <f>102451121.99</f>
        <v>102451121.99</v>
      </c>
      <c r="J34" s="330">
        <f>644222696.67</f>
        <v>644222696.67</v>
      </c>
      <c r="K34" s="330">
        <f>0</f>
        <v>0</v>
      </c>
      <c r="L34" s="330">
        <f>312076560.38</f>
        <v>312076560.38</v>
      </c>
      <c r="M34" s="327"/>
      <c r="N34" s="327"/>
      <c r="O34" s="327"/>
      <c r="P34" s="327"/>
      <c r="Q34" s="327"/>
    </row>
    <row r="35" spans="1:17" ht="33.75" customHeight="1">
      <c r="A35" s="327"/>
      <c r="B35" s="619" t="s">
        <v>669</v>
      </c>
      <c r="C35" s="620"/>
      <c r="D35" s="620"/>
      <c r="E35" s="621"/>
      <c r="F35" s="330">
        <f>2334200.74</f>
        <v>2334200.74</v>
      </c>
      <c r="G35" s="330">
        <f>2309200.74</f>
        <v>2309200.74</v>
      </c>
      <c r="H35" s="330">
        <f>0</f>
        <v>0</v>
      </c>
      <c r="I35" s="330">
        <f>1626215</f>
        <v>1626215</v>
      </c>
      <c r="J35" s="330">
        <f>682985.74</f>
        <v>682985.74</v>
      </c>
      <c r="K35" s="330">
        <f>0</f>
        <v>0</v>
      </c>
      <c r="L35" s="330">
        <f>25000</f>
        <v>25000</v>
      </c>
      <c r="M35" s="327"/>
      <c r="N35" s="327"/>
      <c r="O35" s="327"/>
      <c r="P35" s="327"/>
      <c r="Q35" s="327"/>
    </row>
    <row r="36" spans="1:17" ht="33.75" customHeight="1">
      <c r="A36" s="327"/>
      <c r="B36" s="619" t="s">
        <v>670</v>
      </c>
      <c r="C36" s="620"/>
      <c r="D36" s="620"/>
      <c r="E36" s="621"/>
      <c r="F36" s="330">
        <f>119067840.31</f>
        <v>119067840.31</v>
      </c>
      <c r="G36" s="330">
        <f>112879733.16</f>
        <v>112879733.16</v>
      </c>
      <c r="H36" s="330">
        <f>2212610</f>
        <v>2212610</v>
      </c>
      <c r="I36" s="330">
        <f>6925637.13</f>
        <v>6925637.13</v>
      </c>
      <c r="J36" s="330">
        <f>103741486.03</f>
        <v>103741486.03</v>
      </c>
      <c r="K36" s="330">
        <f>0</f>
        <v>0</v>
      </c>
      <c r="L36" s="330">
        <f>6188107.15</f>
        <v>6188107.15</v>
      </c>
      <c r="M36" s="327"/>
      <c r="N36" s="327"/>
      <c r="O36" s="327"/>
      <c r="P36" s="327"/>
      <c r="Q36" s="327"/>
    </row>
    <row r="37" spans="1:17" ht="22.5" customHeight="1">
      <c r="A37" s="327"/>
      <c r="B37" s="619" t="s">
        <v>671</v>
      </c>
      <c r="C37" s="620"/>
      <c r="D37" s="620"/>
      <c r="E37" s="621"/>
      <c r="F37" s="330">
        <f>68900165.58</f>
        <v>68900165.58</v>
      </c>
      <c r="G37" s="330">
        <f>68868382.57</f>
        <v>68868382.57</v>
      </c>
      <c r="H37" s="330">
        <f>0</f>
        <v>0</v>
      </c>
      <c r="I37" s="330">
        <f>215485.28</f>
        <v>215485.28</v>
      </c>
      <c r="J37" s="330">
        <f>68652897.29</f>
        <v>68652897.29</v>
      </c>
      <c r="K37" s="330">
        <f>0</f>
        <v>0</v>
      </c>
      <c r="L37" s="330">
        <f>31783.01</f>
        <v>31783.01</v>
      </c>
      <c r="M37" s="327"/>
      <c r="N37" s="327"/>
      <c r="O37" s="327"/>
      <c r="P37" s="327"/>
      <c r="Q37" s="327"/>
    </row>
    <row r="38" spans="1:17" ht="33.75" customHeight="1">
      <c r="A38" s="327"/>
      <c r="B38" s="619" t="s">
        <v>672</v>
      </c>
      <c r="C38" s="620"/>
      <c r="D38" s="620"/>
      <c r="E38" s="621"/>
      <c r="F38" s="330">
        <f>4784272.44</f>
        <v>4784272.44</v>
      </c>
      <c r="G38" s="330">
        <f>4784182.03</f>
        <v>4784182.03</v>
      </c>
      <c r="H38" s="330">
        <f>0</f>
        <v>0</v>
      </c>
      <c r="I38" s="330">
        <f>0</f>
        <v>0</v>
      </c>
      <c r="J38" s="330">
        <f>4784182.03</f>
        <v>4784182.03</v>
      </c>
      <c r="K38" s="330">
        <f>0</f>
        <v>0</v>
      </c>
      <c r="L38" s="330">
        <f>90.41</f>
        <v>90.41</v>
      </c>
      <c r="M38" s="327"/>
      <c r="N38" s="327"/>
      <c r="O38" s="327"/>
      <c r="P38" s="327"/>
      <c r="Q38" s="327"/>
    </row>
    <row r="39" spans="1:17" ht="33.75" customHeight="1">
      <c r="A39" s="327"/>
      <c r="B39" s="619" t="s">
        <v>673</v>
      </c>
      <c r="C39" s="620"/>
      <c r="D39" s="620"/>
      <c r="E39" s="621"/>
      <c r="F39" s="330">
        <f>14610512.15</f>
        <v>14610512.15</v>
      </c>
      <c r="G39" s="330">
        <f>14244535.33</f>
        <v>14244535.33</v>
      </c>
      <c r="H39" s="330">
        <f>0</f>
        <v>0</v>
      </c>
      <c r="I39" s="330">
        <f>28531.3</f>
        <v>28531.3</v>
      </c>
      <c r="J39" s="330">
        <f>14216004.03</f>
        <v>14216004.03</v>
      </c>
      <c r="K39" s="330">
        <f>0</f>
        <v>0</v>
      </c>
      <c r="L39" s="330">
        <f>365976.82</f>
        <v>365976.82</v>
      </c>
      <c r="M39" s="327"/>
      <c r="N39" s="327"/>
      <c r="O39" s="327"/>
      <c r="P39" s="327"/>
      <c r="Q39" s="327"/>
    </row>
    <row r="40" spans="1:17" ht="22.5" customHeight="1">
      <c r="A40" s="327"/>
      <c r="B40" s="619" t="s">
        <v>674</v>
      </c>
      <c r="C40" s="620"/>
      <c r="D40" s="620"/>
      <c r="E40" s="621"/>
      <c r="F40" s="330">
        <f>59105</f>
        <v>59105</v>
      </c>
      <c r="G40" s="330">
        <f>59105</f>
        <v>59105</v>
      </c>
      <c r="H40" s="330">
        <f>0</f>
        <v>0</v>
      </c>
      <c r="I40" s="330">
        <f>0</f>
        <v>0</v>
      </c>
      <c r="J40" s="330">
        <f>59105</f>
        <v>59105</v>
      </c>
      <c r="K40" s="330">
        <f>0</f>
        <v>0</v>
      </c>
      <c r="L40" s="330">
        <f>0</f>
        <v>0</v>
      </c>
      <c r="M40" s="327"/>
      <c r="N40" s="327"/>
      <c r="O40" s="327"/>
      <c r="P40" s="327"/>
      <c r="Q40" s="327"/>
    </row>
    <row r="41" spans="1:17" ht="13.5" customHeight="1">
      <c r="A41" s="327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</row>
    <row r="42" spans="1:17" ht="13.5" customHeight="1">
      <c r="A42" s="327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</row>
    <row r="43" spans="1:17" ht="75" customHeight="1">
      <c r="A43" s="637" t="str">
        <f>CONCATENATE("Informacja z wykonania budżetów powiatów za ",$C$51," ",$B$52," roku")</f>
        <v>Informacja z wykonania budżetów powiatów za 2 kwartały 2008 roku</v>
      </c>
      <c r="B43" s="637"/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327"/>
      <c r="O43" s="327"/>
      <c r="P43" s="327"/>
      <c r="Q43" s="327"/>
    </row>
    <row r="44" spans="1:17" ht="13.5" customHeight="1">
      <c r="A44" s="327"/>
      <c r="B44" s="323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</row>
    <row r="45" spans="1:17" ht="13.5" customHeight="1">
      <c r="A45" s="327"/>
      <c r="B45" s="324"/>
      <c r="C45" s="627"/>
      <c r="D45" s="617"/>
      <c r="E45" s="617"/>
      <c r="F45" s="618"/>
      <c r="G45" s="627" t="s">
        <v>461</v>
      </c>
      <c r="H45" s="618"/>
      <c r="I45" s="627" t="s">
        <v>675</v>
      </c>
      <c r="J45" s="618"/>
      <c r="K45" s="324"/>
      <c r="L45" s="327"/>
      <c r="M45" s="327"/>
      <c r="N45" s="327"/>
      <c r="O45" s="327"/>
      <c r="P45" s="327"/>
      <c r="Q45" s="327"/>
    </row>
    <row r="46" spans="1:17" ht="13.5" customHeight="1">
      <c r="A46" s="327"/>
      <c r="B46" s="325"/>
      <c r="C46" s="619" t="s">
        <v>676</v>
      </c>
      <c r="D46" s="620"/>
      <c r="E46" s="620"/>
      <c r="F46" s="621"/>
      <c r="G46" s="631">
        <f>311</f>
        <v>311</v>
      </c>
      <c r="H46" s="632"/>
      <c r="I46" s="633">
        <f>1419826596.77</f>
        <v>1419826596.77</v>
      </c>
      <c r="J46" s="626"/>
      <c r="K46" s="326"/>
      <c r="L46" s="327"/>
      <c r="M46" s="327"/>
      <c r="N46" s="327"/>
      <c r="O46" s="327"/>
      <c r="P46" s="327"/>
      <c r="Q46" s="327"/>
    </row>
    <row r="47" spans="1:17" ht="13.5" customHeight="1">
      <c r="A47" s="327"/>
      <c r="B47" s="325"/>
      <c r="C47" s="619" t="s">
        <v>677</v>
      </c>
      <c r="D47" s="620"/>
      <c r="E47" s="620"/>
      <c r="F47" s="621"/>
      <c r="G47" s="631">
        <f>3</f>
        <v>3</v>
      </c>
      <c r="H47" s="632"/>
      <c r="I47" s="633">
        <f>-1067917.5</f>
        <v>-1067917.5</v>
      </c>
      <c r="J47" s="626"/>
      <c r="K47" s="326"/>
      <c r="L47" s="327"/>
      <c r="M47" s="327"/>
      <c r="N47" s="327"/>
      <c r="O47" s="327"/>
      <c r="P47" s="327"/>
      <c r="Q47" s="327"/>
    </row>
    <row r="48" spans="1:17" ht="13.5" customHeight="1">
      <c r="A48" s="327"/>
      <c r="B48" s="325"/>
      <c r="C48" s="619" t="s">
        <v>678</v>
      </c>
      <c r="D48" s="620"/>
      <c r="E48" s="620"/>
      <c r="F48" s="621"/>
      <c r="G48" s="631">
        <f>0</f>
        <v>0</v>
      </c>
      <c r="H48" s="632"/>
      <c r="I48" s="633">
        <f>0</f>
        <v>0</v>
      </c>
      <c r="J48" s="626"/>
      <c r="K48" s="326"/>
      <c r="L48" s="327"/>
      <c r="M48" s="327"/>
      <c r="N48" s="327"/>
      <c r="O48" s="327"/>
      <c r="P48" s="327"/>
      <c r="Q48" s="327"/>
    </row>
    <row r="49" spans="1:17" ht="13.5" customHeight="1">
      <c r="A49" s="327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</row>
    <row r="50" spans="1:17" ht="13.5" customHeight="1">
      <c r="A50" s="327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</row>
    <row r="51" spans="1:17" ht="13.5" customHeight="1">
      <c r="A51" s="435" t="s">
        <v>586</v>
      </c>
      <c r="B51" s="435">
        <f>2</f>
        <v>2</v>
      </c>
      <c r="C51" s="435" t="s">
        <v>697</v>
      </c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</row>
    <row r="52" spans="1:17" ht="13.5" customHeight="1">
      <c r="A52" s="435" t="s">
        <v>587</v>
      </c>
      <c r="B52" s="435">
        <f>2008</f>
        <v>2008</v>
      </c>
      <c r="C52" s="436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</row>
    <row r="53" spans="1:17" ht="13.5" customHeight="1">
      <c r="A53" s="435" t="s">
        <v>588</v>
      </c>
      <c r="B53" s="437" t="str">
        <f>"Aug 18 2008 12:00AM"</f>
        <v>Aug 18 2008 12:00AM</v>
      </c>
      <c r="C53" s="436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</row>
  </sheetData>
  <mergeCells count="54">
    <mergeCell ref="M7:M11"/>
    <mergeCell ref="N7:N11"/>
    <mergeCell ref="P7:P11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B38:E38"/>
    <mergeCell ref="B35:E35"/>
    <mergeCell ref="B34:E34"/>
    <mergeCell ref="F28:F32"/>
    <mergeCell ref="G29:G32"/>
    <mergeCell ref="G28:L28"/>
    <mergeCell ref="H29:H32"/>
    <mergeCell ref="I29:I32"/>
    <mergeCell ref="J29:J32"/>
    <mergeCell ref="L29:L32"/>
    <mergeCell ref="K29:K32"/>
    <mergeCell ref="G48:H48"/>
    <mergeCell ref="I48:J48"/>
    <mergeCell ref="C45:F45"/>
    <mergeCell ref="C46:F46"/>
    <mergeCell ref="C47:F47"/>
    <mergeCell ref="C48:F48"/>
    <mergeCell ref="G46:H46"/>
    <mergeCell ref="G45:H45"/>
    <mergeCell ref="G47:H47"/>
    <mergeCell ref="I47:J47"/>
    <mergeCell ref="B39:E39"/>
    <mergeCell ref="I46:J46"/>
    <mergeCell ref="B26:M26"/>
    <mergeCell ref="I45:J45"/>
    <mergeCell ref="B33:E33"/>
    <mergeCell ref="B28:E32"/>
    <mergeCell ref="B40:E40"/>
    <mergeCell ref="A43:M43"/>
    <mergeCell ref="B36:E36"/>
    <mergeCell ref="B37:E37"/>
    <mergeCell ref="O6:Q6"/>
    <mergeCell ref="O7:O11"/>
    <mergeCell ref="A24:M24"/>
    <mergeCell ref="H7:H11"/>
    <mergeCell ref="G7:G11"/>
    <mergeCell ref="F7:F11"/>
    <mergeCell ref="I7:I11"/>
    <mergeCell ref="J7:J11"/>
    <mergeCell ref="Q7:Q11"/>
    <mergeCell ref="L7:L11"/>
  </mergeCells>
  <printOptions/>
  <pageMargins left="0.1968503937007874" right="0.1968503937007874" top="0.1968503937007874" bottom="0.1968503937007874" header="0" footer="0"/>
  <pageSetup horizontalDpi="300" verticalDpi="300" orientation="landscape" paperSize="9" scale="69" r:id="rId1"/>
  <headerFooter alignWithMargins="0">
    <oddFooter>&amp;Rstr. &amp;P z &amp;N</oddFooter>
  </headerFooter>
  <rowBreaks count="1" manualBreakCount="1">
    <brk id="2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77"/>
  <sheetViews>
    <sheetView showGridLines="0" workbookViewId="0" topLeftCell="A1">
      <selection activeCell="A24" sqref="A24:M24"/>
    </sheetView>
  </sheetViews>
  <sheetFormatPr defaultColWidth="9.140625" defaultRowHeight="12.75"/>
  <cols>
    <col min="1" max="1" width="5.57421875" style="1" customWidth="1"/>
    <col min="2" max="2" width="5.00390625" style="1" customWidth="1"/>
    <col min="3" max="3" width="19.57421875" style="1" customWidth="1"/>
    <col min="4" max="4" width="10.140625" style="1" customWidth="1"/>
    <col min="5" max="5" width="16.8515625" style="1" customWidth="1"/>
    <col min="6" max="6" width="16.421875" style="1" customWidth="1"/>
    <col min="7" max="7" width="15.8515625" style="1" customWidth="1"/>
    <col min="8" max="8" width="16.57421875" style="1" customWidth="1"/>
    <col min="9" max="9" width="14.00390625" style="1" customWidth="1"/>
    <col min="10" max="10" width="12.57421875" style="1" customWidth="1"/>
    <col min="11" max="11" width="13.421875" style="1" customWidth="1"/>
    <col min="12" max="13" width="6.421875" style="1" customWidth="1"/>
    <col min="14" max="16384" width="8.8515625" style="1" customWidth="1"/>
  </cols>
  <sheetData>
    <row r="1" ht="12">
      <c r="L1" s="1" t="s">
        <v>46</v>
      </c>
    </row>
    <row r="3" spans="1:13" ht="15.75" customHeight="1">
      <c r="A3" s="753" t="s">
        <v>707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</row>
    <row r="4" spans="1:13" ht="20.25" customHeight="1">
      <c r="A4" s="753"/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</row>
    <row r="5" spans="1:2" ht="13.5" thickBot="1">
      <c r="A5" s="2"/>
      <c r="B5" s="2"/>
    </row>
    <row r="6" spans="1:13" ht="12.75" customHeight="1" thickBot="1">
      <c r="A6" s="749" t="s">
        <v>0</v>
      </c>
      <c r="B6" s="749" t="s">
        <v>47</v>
      </c>
      <c r="C6" s="786" t="s">
        <v>48</v>
      </c>
      <c r="D6" s="714" t="s">
        <v>2</v>
      </c>
      <c r="E6" s="722" t="s">
        <v>479</v>
      </c>
      <c r="F6" s="714" t="s">
        <v>480</v>
      </c>
      <c r="G6" s="715" t="s">
        <v>482</v>
      </c>
      <c r="H6" s="717" t="s">
        <v>4</v>
      </c>
      <c r="I6" s="3" t="s">
        <v>5</v>
      </c>
      <c r="J6" s="714" t="s">
        <v>6</v>
      </c>
      <c r="K6" s="707" t="s">
        <v>7</v>
      </c>
      <c r="L6" s="709" t="s">
        <v>49</v>
      </c>
      <c r="M6" s="709" t="s">
        <v>50</v>
      </c>
    </row>
    <row r="7" spans="1:13" ht="26.25" thickBot="1">
      <c r="A7" s="750"/>
      <c r="B7" s="750"/>
      <c r="C7" s="787"/>
      <c r="D7" s="721"/>
      <c r="E7" s="723"/>
      <c r="F7" s="710"/>
      <c r="G7" s="716"/>
      <c r="H7" s="718"/>
      <c r="I7" s="4" t="s">
        <v>10</v>
      </c>
      <c r="J7" s="710"/>
      <c r="K7" s="708"/>
      <c r="L7" s="710"/>
      <c r="M7" s="710"/>
    </row>
    <row r="8" spans="1:13" ht="13.5" customHeight="1" thickBot="1">
      <c r="A8" s="785"/>
      <c r="B8" s="785"/>
      <c r="C8" s="788"/>
      <c r="D8" s="721"/>
      <c r="E8" s="711" t="s">
        <v>11</v>
      </c>
      <c r="F8" s="711"/>
      <c r="G8" s="711"/>
      <c r="H8" s="711"/>
      <c r="I8" s="711"/>
      <c r="J8" s="711"/>
      <c r="K8" s="711"/>
      <c r="L8" s="712" t="s">
        <v>12</v>
      </c>
      <c r="M8" s="713"/>
    </row>
    <row r="9" spans="1:13" s="10" customFormat="1" ht="12" thickBot="1">
      <c r="A9" s="116">
        <v>1</v>
      </c>
      <c r="B9" s="107">
        <v>2</v>
      </c>
      <c r="C9" s="95">
        <v>3</v>
      </c>
      <c r="D9" s="90">
        <v>4</v>
      </c>
      <c r="E9" s="107">
        <v>5</v>
      </c>
      <c r="F9" s="117">
        <v>6</v>
      </c>
      <c r="G9" s="7">
        <v>7</v>
      </c>
      <c r="H9" s="116">
        <v>8</v>
      </c>
      <c r="I9" s="95">
        <v>9</v>
      </c>
      <c r="J9" s="8">
        <v>10</v>
      </c>
      <c r="K9" s="9">
        <v>11</v>
      </c>
      <c r="L9" s="5">
        <v>12</v>
      </c>
      <c r="M9" s="6">
        <v>13</v>
      </c>
    </row>
    <row r="10" spans="1:13" ht="15" customHeight="1">
      <c r="A10" s="155" t="s">
        <v>13</v>
      </c>
      <c r="B10" s="156" t="s">
        <v>51</v>
      </c>
      <c r="C10" s="160" t="s">
        <v>52</v>
      </c>
      <c r="D10" s="163">
        <v>86503</v>
      </c>
      <c r="E10" s="169">
        <v>283586877.15</v>
      </c>
      <c r="F10" s="166">
        <v>326076417.15</v>
      </c>
      <c r="G10" s="172">
        <f aca="true" t="shared" si="0" ref="G10:G41">E10-F10</f>
        <v>-42489540</v>
      </c>
      <c r="H10" s="173">
        <v>94230423.91</v>
      </c>
      <c r="I10" s="174">
        <v>4317681.03</v>
      </c>
      <c r="J10" s="30">
        <f aca="true" t="shared" si="1" ref="J10:J41">H10/D10</f>
        <v>1089.331282267667</v>
      </c>
      <c r="K10" s="31">
        <f aca="true" t="shared" si="2" ref="K10:K41">I10/D10</f>
        <v>49.9136565205831</v>
      </c>
      <c r="L10" s="32">
        <f aca="true" t="shared" si="3" ref="L10:L41">H10/E10*100</f>
        <v>33.22806219279248</v>
      </c>
      <c r="M10" s="33">
        <f aca="true" t="shared" si="4" ref="M10:M41">I10/E10*100</f>
        <v>1.5225249748479064</v>
      </c>
    </row>
    <row r="11" spans="1:13" ht="15" customHeight="1">
      <c r="A11" s="157" t="s">
        <v>13</v>
      </c>
      <c r="B11" s="154" t="s">
        <v>53</v>
      </c>
      <c r="C11" s="161" t="s">
        <v>54</v>
      </c>
      <c r="D11" s="164">
        <v>105186</v>
      </c>
      <c r="E11" s="170">
        <v>315882550.6</v>
      </c>
      <c r="F11" s="167">
        <v>356064977.6</v>
      </c>
      <c r="G11" s="106">
        <f t="shared" si="0"/>
        <v>-40182427</v>
      </c>
      <c r="H11" s="175">
        <v>50186781.63</v>
      </c>
      <c r="I11" s="176">
        <v>0</v>
      </c>
      <c r="J11" s="34">
        <f t="shared" si="1"/>
        <v>477.124157492442</v>
      </c>
      <c r="K11" s="35">
        <f t="shared" si="2"/>
        <v>0</v>
      </c>
      <c r="L11" s="32">
        <f t="shared" si="3"/>
        <v>15.887798023244148</v>
      </c>
      <c r="M11" s="33">
        <f t="shared" si="4"/>
        <v>0</v>
      </c>
    </row>
    <row r="12" spans="1:13" ht="15" customHeight="1">
      <c r="A12" s="157" t="s">
        <v>13</v>
      </c>
      <c r="B12" s="154" t="s">
        <v>55</v>
      </c>
      <c r="C12" s="161" t="s">
        <v>56</v>
      </c>
      <c r="D12" s="164">
        <v>634630</v>
      </c>
      <c r="E12" s="170">
        <v>2756348733.24</v>
      </c>
      <c r="F12" s="167">
        <v>3424915733.24</v>
      </c>
      <c r="G12" s="106">
        <f t="shared" si="0"/>
        <v>-668567000</v>
      </c>
      <c r="H12" s="175">
        <v>353315444.59</v>
      </c>
      <c r="I12" s="176">
        <v>5996937.76</v>
      </c>
      <c r="J12" s="34">
        <f t="shared" si="1"/>
        <v>556.7266668610056</v>
      </c>
      <c r="K12" s="35">
        <f t="shared" si="2"/>
        <v>9.449502481761026</v>
      </c>
      <c r="L12" s="32">
        <f t="shared" si="3"/>
        <v>12.818241767785638</v>
      </c>
      <c r="M12" s="33">
        <f t="shared" si="4"/>
        <v>0.21756817951518026</v>
      </c>
    </row>
    <row r="13" spans="1:13" ht="15" customHeight="1">
      <c r="A13" s="157" t="s">
        <v>15</v>
      </c>
      <c r="B13" s="154" t="s">
        <v>51</v>
      </c>
      <c r="C13" s="161" t="s">
        <v>57</v>
      </c>
      <c r="D13" s="164">
        <v>363468</v>
      </c>
      <c r="E13" s="170">
        <v>1096372473</v>
      </c>
      <c r="F13" s="167">
        <v>1317816134</v>
      </c>
      <c r="G13" s="106">
        <f t="shared" si="0"/>
        <v>-221443661</v>
      </c>
      <c r="H13" s="175">
        <v>381519687.11</v>
      </c>
      <c r="I13" s="176">
        <v>0</v>
      </c>
      <c r="J13" s="34">
        <f t="shared" si="1"/>
        <v>1049.665134509778</v>
      </c>
      <c r="K13" s="35">
        <f t="shared" si="2"/>
        <v>0</v>
      </c>
      <c r="L13" s="32">
        <f t="shared" si="3"/>
        <v>34.79836428819205</v>
      </c>
      <c r="M13" s="33">
        <f t="shared" si="4"/>
        <v>0</v>
      </c>
    </row>
    <row r="14" spans="1:13" ht="15" customHeight="1">
      <c r="A14" s="157" t="s">
        <v>15</v>
      </c>
      <c r="B14" s="154" t="s">
        <v>53</v>
      </c>
      <c r="C14" s="161" t="s">
        <v>58</v>
      </c>
      <c r="D14" s="164">
        <v>99244</v>
      </c>
      <c r="E14" s="170">
        <v>408220445</v>
      </c>
      <c r="F14" s="167">
        <v>428131990</v>
      </c>
      <c r="G14" s="106">
        <f t="shared" si="0"/>
        <v>-19911545</v>
      </c>
      <c r="H14" s="175">
        <v>116163419.63</v>
      </c>
      <c r="I14" s="176">
        <v>84482.64</v>
      </c>
      <c r="J14" s="34">
        <f t="shared" si="1"/>
        <v>1170.4830481439683</v>
      </c>
      <c r="K14" s="35">
        <f t="shared" si="2"/>
        <v>0.8512619402684293</v>
      </c>
      <c r="L14" s="32">
        <f t="shared" si="3"/>
        <v>28.4560513939962</v>
      </c>
      <c r="M14" s="33">
        <f t="shared" si="4"/>
        <v>0.020695347583583178</v>
      </c>
    </row>
    <row r="15" spans="1:13" ht="15" customHeight="1">
      <c r="A15" s="157" t="s">
        <v>15</v>
      </c>
      <c r="B15" s="154" t="s">
        <v>59</v>
      </c>
      <c r="C15" s="161" t="s">
        <v>60</v>
      </c>
      <c r="D15" s="164">
        <v>207190</v>
      </c>
      <c r="E15" s="170">
        <v>677902017</v>
      </c>
      <c r="F15" s="167">
        <v>753352017</v>
      </c>
      <c r="G15" s="106">
        <f t="shared" si="0"/>
        <v>-75450000</v>
      </c>
      <c r="H15" s="175">
        <v>295292236.25</v>
      </c>
      <c r="I15" s="176">
        <v>7146441.59</v>
      </c>
      <c r="J15" s="34">
        <f t="shared" si="1"/>
        <v>1425.224365316859</v>
      </c>
      <c r="K15" s="35">
        <f t="shared" si="2"/>
        <v>34.49221289637531</v>
      </c>
      <c r="L15" s="32">
        <f t="shared" si="3"/>
        <v>43.55972232636092</v>
      </c>
      <c r="M15" s="33">
        <f t="shared" si="4"/>
        <v>1.0541997826803928</v>
      </c>
    </row>
    <row r="16" spans="1:13" ht="15" customHeight="1">
      <c r="A16" s="157" t="s">
        <v>15</v>
      </c>
      <c r="B16" s="154" t="s">
        <v>55</v>
      </c>
      <c r="C16" s="161" t="s">
        <v>61</v>
      </c>
      <c r="D16" s="164">
        <v>119256</v>
      </c>
      <c r="E16" s="170">
        <v>372048758</v>
      </c>
      <c r="F16" s="167">
        <v>434913930</v>
      </c>
      <c r="G16" s="106">
        <f t="shared" si="0"/>
        <v>-62865172</v>
      </c>
      <c r="H16" s="175">
        <v>133100882.01</v>
      </c>
      <c r="I16" s="176">
        <v>0</v>
      </c>
      <c r="J16" s="34">
        <f t="shared" si="1"/>
        <v>1116.0937982994567</v>
      </c>
      <c r="K16" s="35">
        <f t="shared" si="2"/>
        <v>0</v>
      </c>
      <c r="L16" s="32">
        <f t="shared" si="3"/>
        <v>35.775117951072424</v>
      </c>
      <c r="M16" s="33">
        <f t="shared" si="4"/>
        <v>0</v>
      </c>
    </row>
    <row r="17" spans="1:13" ht="15" customHeight="1">
      <c r="A17" s="157" t="s">
        <v>17</v>
      </c>
      <c r="B17" s="154" t="s">
        <v>51</v>
      </c>
      <c r="C17" s="161" t="s">
        <v>62</v>
      </c>
      <c r="D17" s="164">
        <v>58075</v>
      </c>
      <c r="E17" s="170">
        <v>179493743</v>
      </c>
      <c r="F17" s="167">
        <v>191802070</v>
      </c>
      <c r="G17" s="106">
        <f t="shared" si="0"/>
        <v>-12308327</v>
      </c>
      <c r="H17" s="175">
        <v>62401603.56</v>
      </c>
      <c r="I17" s="176">
        <v>351603.56</v>
      </c>
      <c r="J17" s="34">
        <f t="shared" si="1"/>
        <v>1074.5002765389584</v>
      </c>
      <c r="K17" s="35">
        <f t="shared" si="2"/>
        <v>6.054301506672406</v>
      </c>
      <c r="L17" s="32">
        <f t="shared" si="3"/>
        <v>34.76533639392655</v>
      </c>
      <c r="M17" s="33">
        <f t="shared" si="4"/>
        <v>0.19588624880367</v>
      </c>
    </row>
    <row r="18" spans="1:13" ht="15" customHeight="1">
      <c r="A18" s="157" t="s">
        <v>17</v>
      </c>
      <c r="B18" s="154" t="s">
        <v>53</v>
      </c>
      <c r="C18" s="161" t="s">
        <v>63</v>
      </c>
      <c r="D18" s="164">
        <v>67887</v>
      </c>
      <c r="E18" s="170">
        <v>195280903.18</v>
      </c>
      <c r="F18" s="167">
        <v>205338361.63000003</v>
      </c>
      <c r="G18" s="106">
        <f t="shared" si="0"/>
        <v>-10057458.450000018</v>
      </c>
      <c r="H18" s="175">
        <v>57492189.96</v>
      </c>
      <c r="I18" s="176">
        <v>201501.96</v>
      </c>
      <c r="J18" s="34">
        <f t="shared" si="1"/>
        <v>846.8806982190994</v>
      </c>
      <c r="K18" s="35">
        <f t="shared" si="2"/>
        <v>2.9681965619338015</v>
      </c>
      <c r="L18" s="32">
        <f t="shared" si="3"/>
        <v>29.4407640602761</v>
      </c>
      <c r="M18" s="33">
        <f t="shared" si="4"/>
        <v>0.10318569646017345</v>
      </c>
    </row>
    <row r="19" spans="1:13" ht="15" customHeight="1">
      <c r="A19" s="157" t="s">
        <v>17</v>
      </c>
      <c r="B19" s="154" t="s">
        <v>59</v>
      </c>
      <c r="C19" s="161" t="s">
        <v>64</v>
      </c>
      <c r="D19" s="164">
        <v>353483</v>
      </c>
      <c r="E19" s="170">
        <v>1103701511</v>
      </c>
      <c r="F19" s="167">
        <v>1318342613</v>
      </c>
      <c r="G19" s="106">
        <f t="shared" si="0"/>
        <v>-214641102</v>
      </c>
      <c r="H19" s="175">
        <v>208831834.82</v>
      </c>
      <c r="I19" s="176">
        <v>618.44</v>
      </c>
      <c r="J19" s="34">
        <f t="shared" si="1"/>
        <v>590.7832479072543</v>
      </c>
      <c r="K19" s="35">
        <f t="shared" si="2"/>
        <v>0.001749560799246357</v>
      </c>
      <c r="L19" s="32">
        <f t="shared" si="3"/>
        <v>18.921042758271625</v>
      </c>
      <c r="M19" s="33">
        <f t="shared" si="4"/>
        <v>5.603326568246404E-05</v>
      </c>
    </row>
    <row r="20" spans="1:13" ht="15" customHeight="1">
      <c r="A20" s="157" t="s">
        <v>17</v>
      </c>
      <c r="B20" s="154" t="s">
        <v>55</v>
      </c>
      <c r="C20" s="161" t="s">
        <v>65</v>
      </c>
      <c r="D20" s="164">
        <v>66507</v>
      </c>
      <c r="E20" s="170">
        <v>338887541</v>
      </c>
      <c r="F20" s="167">
        <v>355649142</v>
      </c>
      <c r="G20" s="106">
        <f t="shared" si="0"/>
        <v>-16761601</v>
      </c>
      <c r="H20" s="175">
        <v>35910389.53</v>
      </c>
      <c r="I20" s="176">
        <v>323178.78</v>
      </c>
      <c r="J20" s="34">
        <f t="shared" si="1"/>
        <v>539.9490208549477</v>
      </c>
      <c r="K20" s="35">
        <f t="shared" si="2"/>
        <v>4.859319770851189</v>
      </c>
      <c r="L20" s="32">
        <f t="shared" si="3"/>
        <v>10.596550532378528</v>
      </c>
      <c r="M20" s="33">
        <f t="shared" si="4"/>
        <v>0.09536460946494343</v>
      </c>
    </row>
    <row r="21" spans="1:13" ht="15" customHeight="1">
      <c r="A21" s="157" t="s">
        <v>19</v>
      </c>
      <c r="B21" s="154" t="s">
        <v>51</v>
      </c>
      <c r="C21" s="161" t="s">
        <v>66</v>
      </c>
      <c r="D21" s="164">
        <v>125504</v>
      </c>
      <c r="E21" s="170">
        <v>372716383</v>
      </c>
      <c r="F21" s="167">
        <v>442835120</v>
      </c>
      <c r="G21" s="106">
        <f t="shared" si="0"/>
        <v>-70118737</v>
      </c>
      <c r="H21" s="175">
        <v>58596084.17</v>
      </c>
      <c r="I21" s="176">
        <v>48605.57</v>
      </c>
      <c r="J21" s="34">
        <f t="shared" si="1"/>
        <v>466.88618824898015</v>
      </c>
      <c r="K21" s="35">
        <f t="shared" si="2"/>
        <v>0.3872830348036716</v>
      </c>
      <c r="L21" s="32">
        <f t="shared" si="3"/>
        <v>15.721359951596225</v>
      </c>
      <c r="M21" s="33">
        <f t="shared" si="4"/>
        <v>0.013040899787868999</v>
      </c>
    </row>
    <row r="22" spans="1:13" ht="15" customHeight="1">
      <c r="A22" s="157" t="s">
        <v>19</v>
      </c>
      <c r="B22" s="154" t="s">
        <v>53</v>
      </c>
      <c r="C22" s="161" t="s">
        <v>67</v>
      </c>
      <c r="D22" s="164">
        <v>118115</v>
      </c>
      <c r="E22" s="170">
        <v>400448432</v>
      </c>
      <c r="F22" s="167">
        <v>472726281</v>
      </c>
      <c r="G22" s="106">
        <f t="shared" si="0"/>
        <v>-72277849</v>
      </c>
      <c r="H22" s="175">
        <v>69093252.3</v>
      </c>
      <c r="I22" s="176">
        <v>1552.71</v>
      </c>
      <c r="J22" s="34">
        <f t="shared" si="1"/>
        <v>584.965942513652</v>
      </c>
      <c r="K22" s="35">
        <f t="shared" si="2"/>
        <v>0.013145747788172544</v>
      </c>
      <c r="L22" s="32">
        <f t="shared" si="3"/>
        <v>17.25396999431877</v>
      </c>
      <c r="M22" s="33">
        <f t="shared" si="4"/>
        <v>0.0003877428092913596</v>
      </c>
    </row>
    <row r="23" spans="1:13" ht="15" customHeight="1">
      <c r="A23" s="157" t="s">
        <v>21</v>
      </c>
      <c r="B23" s="154" t="s">
        <v>51</v>
      </c>
      <c r="C23" s="161" t="s">
        <v>68</v>
      </c>
      <c r="D23" s="164">
        <v>760251</v>
      </c>
      <c r="E23" s="170">
        <v>2474335881.04</v>
      </c>
      <c r="F23" s="167">
        <v>2597475105.04</v>
      </c>
      <c r="G23" s="106">
        <f t="shared" si="0"/>
        <v>-123139224</v>
      </c>
      <c r="H23" s="175">
        <v>644258213.32</v>
      </c>
      <c r="I23" s="176">
        <v>787125.04</v>
      </c>
      <c r="J23" s="34">
        <f t="shared" si="1"/>
        <v>847.4283010742505</v>
      </c>
      <c r="K23" s="35">
        <f t="shared" si="2"/>
        <v>1.035348904506538</v>
      </c>
      <c r="L23" s="32">
        <f t="shared" si="3"/>
        <v>26.037621579864446</v>
      </c>
      <c r="M23" s="33">
        <f t="shared" si="4"/>
        <v>0.03181156794562425</v>
      </c>
    </row>
    <row r="24" spans="1:13" ht="15" customHeight="1">
      <c r="A24" s="157" t="s">
        <v>21</v>
      </c>
      <c r="B24" s="154" t="s">
        <v>53</v>
      </c>
      <c r="C24" s="161" t="s">
        <v>69</v>
      </c>
      <c r="D24" s="164">
        <v>78954</v>
      </c>
      <c r="E24" s="170">
        <v>253042156.01999998</v>
      </c>
      <c r="F24" s="167">
        <v>309659014.02</v>
      </c>
      <c r="G24" s="106">
        <f t="shared" si="0"/>
        <v>-56616858</v>
      </c>
      <c r="H24" s="175">
        <v>84388912.22</v>
      </c>
      <c r="I24" s="176">
        <v>12310</v>
      </c>
      <c r="J24" s="34">
        <f t="shared" si="1"/>
        <v>1068.836439192441</v>
      </c>
      <c r="K24" s="35">
        <f t="shared" si="2"/>
        <v>0.1559135699267928</v>
      </c>
      <c r="L24" s="32">
        <f t="shared" si="3"/>
        <v>33.349744385409856</v>
      </c>
      <c r="M24" s="33">
        <f t="shared" si="4"/>
        <v>0.004864802052598319</v>
      </c>
    </row>
    <row r="25" spans="1:13" ht="15" customHeight="1">
      <c r="A25" s="157" t="s">
        <v>21</v>
      </c>
      <c r="B25" s="154" t="s">
        <v>59</v>
      </c>
      <c r="C25" s="161" t="s">
        <v>70</v>
      </c>
      <c r="D25" s="164">
        <v>48772</v>
      </c>
      <c r="E25" s="170">
        <v>141235770.14999998</v>
      </c>
      <c r="F25" s="167">
        <v>169528986.14999998</v>
      </c>
      <c r="G25" s="106">
        <f t="shared" si="0"/>
        <v>-28293216</v>
      </c>
      <c r="H25" s="175">
        <v>14509509.62</v>
      </c>
      <c r="I25" s="176">
        <v>0</v>
      </c>
      <c r="J25" s="34">
        <f t="shared" si="1"/>
        <v>297.49671163782494</v>
      </c>
      <c r="K25" s="35">
        <f t="shared" si="2"/>
        <v>0</v>
      </c>
      <c r="L25" s="32">
        <f t="shared" si="3"/>
        <v>10.273254151260774</v>
      </c>
      <c r="M25" s="33">
        <f t="shared" si="4"/>
        <v>0</v>
      </c>
    </row>
    <row r="26" spans="1:13" ht="12.75">
      <c r="A26" s="157" t="s">
        <v>23</v>
      </c>
      <c r="B26" s="154" t="s">
        <v>51</v>
      </c>
      <c r="C26" s="161" t="s">
        <v>71</v>
      </c>
      <c r="D26" s="164">
        <v>756267</v>
      </c>
      <c r="E26" s="170">
        <v>2907717355.38</v>
      </c>
      <c r="F26" s="167">
        <v>3126837579.38</v>
      </c>
      <c r="G26" s="106">
        <f t="shared" si="0"/>
        <v>-219120224</v>
      </c>
      <c r="H26" s="175">
        <v>1355492244.54</v>
      </c>
      <c r="I26" s="176">
        <v>5185.3</v>
      </c>
      <c r="J26" s="34">
        <f t="shared" si="1"/>
        <v>1792.3461483047654</v>
      </c>
      <c r="K26" s="35">
        <f t="shared" si="2"/>
        <v>0.006856440913063772</v>
      </c>
      <c r="L26" s="32">
        <f t="shared" si="3"/>
        <v>46.61705657298507</v>
      </c>
      <c r="M26" s="33">
        <f t="shared" si="4"/>
        <v>0.00017832888710472172</v>
      </c>
    </row>
    <row r="27" spans="1:13" ht="12.75">
      <c r="A27" s="157" t="s">
        <v>23</v>
      </c>
      <c r="B27" s="154" t="s">
        <v>53</v>
      </c>
      <c r="C27" s="161" t="s">
        <v>72</v>
      </c>
      <c r="D27" s="164">
        <v>84487</v>
      </c>
      <c r="E27" s="170">
        <v>299596294.25</v>
      </c>
      <c r="F27" s="167">
        <v>320510915.25</v>
      </c>
      <c r="G27" s="106">
        <f t="shared" si="0"/>
        <v>-20914621</v>
      </c>
      <c r="H27" s="175">
        <v>48058564</v>
      </c>
      <c r="I27" s="176">
        <v>43518</v>
      </c>
      <c r="J27" s="34">
        <f t="shared" si="1"/>
        <v>568.8279143536876</v>
      </c>
      <c r="K27" s="35">
        <f t="shared" si="2"/>
        <v>0.5150851610306911</v>
      </c>
      <c r="L27" s="32">
        <f t="shared" si="3"/>
        <v>16.041107624614753</v>
      </c>
      <c r="M27" s="33">
        <f t="shared" si="4"/>
        <v>0.014525546822580568</v>
      </c>
    </row>
    <row r="28" spans="1:13" ht="12.75">
      <c r="A28" s="157" t="s">
        <v>23</v>
      </c>
      <c r="B28" s="154" t="s">
        <v>59</v>
      </c>
      <c r="C28" s="161" t="s">
        <v>73</v>
      </c>
      <c r="D28" s="164">
        <v>116967</v>
      </c>
      <c r="E28" s="170">
        <v>389420525</v>
      </c>
      <c r="F28" s="167">
        <v>427141396</v>
      </c>
      <c r="G28" s="106">
        <f t="shared" si="0"/>
        <v>-37720871</v>
      </c>
      <c r="H28" s="175">
        <v>119162150.07</v>
      </c>
      <c r="I28" s="176">
        <v>5350.75</v>
      </c>
      <c r="J28" s="34">
        <f t="shared" si="1"/>
        <v>1018.7672597399265</v>
      </c>
      <c r="K28" s="35">
        <f t="shared" si="2"/>
        <v>0.04574580864688331</v>
      </c>
      <c r="L28" s="32">
        <f t="shared" si="3"/>
        <v>30.599863751403444</v>
      </c>
      <c r="M28" s="33">
        <f t="shared" si="4"/>
        <v>0.001374028757215609</v>
      </c>
    </row>
    <row r="29" spans="1:13" ht="12.75">
      <c r="A29" s="157" t="s">
        <v>25</v>
      </c>
      <c r="B29" s="154" t="s">
        <v>51</v>
      </c>
      <c r="C29" s="161" t="s">
        <v>74</v>
      </c>
      <c r="D29" s="164">
        <v>53605</v>
      </c>
      <c r="E29" s="170">
        <v>184806046</v>
      </c>
      <c r="F29" s="167">
        <v>187498879</v>
      </c>
      <c r="G29" s="106">
        <f t="shared" si="0"/>
        <v>-2692833</v>
      </c>
      <c r="H29" s="175">
        <v>26905276.12</v>
      </c>
      <c r="I29" s="176">
        <v>64776.13</v>
      </c>
      <c r="J29" s="34">
        <f t="shared" si="1"/>
        <v>501.91728607406026</v>
      </c>
      <c r="K29" s="35">
        <f t="shared" si="2"/>
        <v>1.2083971644436153</v>
      </c>
      <c r="L29" s="32">
        <f t="shared" si="3"/>
        <v>14.558655792029661</v>
      </c>
      <c r="M29" s="33">
        <f t="shared" si="4"/>
        <v>0.03505087165817075</v>
      </c>
    </row>
    <row r="30" spans="1:13" ht="12.75">
      <c r="A30" s="157" t="s">
        <v>25</v>
      </c>
      <c r="B30" s="154" t="s">
        <v>53</v>
      </c>
      <c r="C30" s="161" t="s">
        <v>75</v>
      </c>
      <c r="D30" s="164">
        <v>127224</v>
      </c>
      <c r="E30" s="170">
        <v>571346642.74</v>
      </c>
      <c r="F30" s="167">
        <v>646055715.1300004</v>
      </c>
      <c r="G30" s="106">
        <f t="shared" si="0"/>
        <v>-74709072.39000034</v>
      </c>
      <c r="H30" s="175">
        <v>157050179.52</v>
      </c>
      <c r="I30" s="176">
        <v>1179.52</v>
      </c>
      <c r="J30" s="34">
        <f t="shared" si="1"/>
        <v>1234.4383097528769</v>
      </c>
      <c r="K30" s="35">
        <f t="shared" si="2"/>
        <v>0.009271206690561529</v>
      </c>
      <c r="L30" s="32">
        <f t="shared" si="3"/>
        <v>27.487722473844673</v>
      </c>
      <c r="M30" s="33">
        <f t="shared" si="4"/>
        <v>0.0002064455991801038</v>
      </c>
    </row>
    <row r="31" spans="1:13" ht="12.75">
      <c r="A31" s="157" t="s">
        <v>25</v>
      </c>
      <c r="B31" s="154" t="s">
        <v>59</v>
      </c>
      <c r="C31" s="161" t="s">
        <v>76</v>
      </c>
      <c r="D31" s="164">
        <v>225810</v>
      </c>
      <c r="E31" s="170">
        <v>703981814</v>
      </c>
      <c r="F31" s="167">
        <v>801492806</v>
      </c>
      <c r="G31" s="106">
        <f t="shared" si="0"/>
        <v>-97510992</v>
      </c>
      <c r="H31" s="175">
        <v>58353909.02</v>
      </c>
      <c r="I31" s="176">
        <v>2871.07</v>
      </c>
      <c r="J31" s="34">
        <f t="shared" si="1"/>
        <v>258.42039333953323</v>
      </c>
      <c r="K31" s="35">
        <f t="shared" si="2"/>
        <v>0.012714538771533591</v>
      </c>
      <c r="L31" s="32">
        <f t="shared" si="3"/>
        <v>8.289121659043312</v>
      </c>
      <c r="M31" s="33">
        <f t="shared" si="4"/>
        <v>0.0004078329784808901</v>
      </c>
    </row>
    <row r="32" spans="1:13" ht="12.75">
      <c r="A32" s="157" t="s">
        <v>25</v>
      </c>
      <c r="B32" s="154" t="s">
        <v>55</v>
      </c>
      <c r="C32" s="161" t="s">
        <v>77</v>
      </c>
      <c r="D32" s="164">
        <v>77051</v>
      </c>
      <c r="E32" s="170">
        <v>269022043</v>
      </c>
      <c r="F32" s="167">
        <v>289241069</v>
      </c>
      <c r="G32" s="106">
        <f t="shared" si="0"/>
        <v>-20219026</v>
      </c>
      <c r="H32" s="175">
        <v>62723106.9</v>
      </c>
      <c r="I32" s="176">
        <v>1096.4</v>
      </c>
      <c r="J32" s="34">
        <f t="shared" si="1"/>
        <v>814.0466301540538</v>
      </c>
      <c r="K32" s="35">
        <f t="shared" si="2"/>
        <v>0.014229536281164424</v>
      </c>
      <c r="L32" s="32">
        <f t="shared" si="3"/>
        <v>23.31522956280575</v>
      </c>
      <c r="M32" s="33">
        <f t="shared" si="4"/>
        <v>0.00040755024672829503</v>
      </c>
    </row>
    <row r="33" spans="1:13" ht="12.75">
      <c r="A33" s="157" t="s">
        <v>25</v>
      </c>
      <c r="B33" s="154" t="s">
        <v>78</v>
      </c>
      <c r="C33" s="161" t="s">
        <v>459</v>
      </c>
      <c r="D33" s="164">
        <v>1702139</v>
      </c>
      <c r="E33" s="170">
        <v>9887095557</v>
      </c>
      <c r="F33" s="167">
        <v>11591644337</v>
      </c>
      <c r="G33" s="106">
        <f t="shared" si="0"/>
        <v>-1704548780</v>
      </c>
      <c r="H33" s="175">
        <v>1933197532.07</v>
      </c>
      <c r="I33" s="176">
        <v>8410.93</v>
      </c>
      <c r="J33" s="34">
        <f t="shared" si="1"/>
        <v>1135.745983183512</v>
      </c>
      <c r="K33" s="35">
        <f t="shared" si="2"/>
        <v>0.004941388452999432</v>
      </c>
      <c r="L33" s="32">
        <f t="shared" si="3"/>
        <v>19.552734379120153</v>
      </c>
      <c r="M33" s="33">
        <f t="shared" si="4"/>
        <v>8.506977556260307E-05</v>
      </c>
    </row>
    <row r="34" spans="1:13" ht="12.75">
      <c r="A34" s="157" t="s">
        <v>27</v>
      </c>
      <c r="B34" s="154" t="s">
        <v>51</v>
      </c>
      <c r="C34" s="161" t="s">
        <v>79</v>
      </c>
      <c r="D34" s="164">
        <v>127602</v>
      </c>
      <c r="E34" s="170">
        <v>495613291</v>
      </c>
      <c r="F34" s="167">
        <v>621126626</v>
      </c>
      <c r="G34" s="106">
        <f t="shared" si="0"/>
        <v>-125513335</v>
      </c>
      <c r="H34" s="175">
        <v>106540546.81</v>
      </c>
      <c r="I34" s="176">
        <v>0</v>
      </c>
      <c r="J34" s="34">
        <f t="shared" si="1"/>
        <v>834.9441765019358</v>
      </c>
      <c r="K34" s="35">
        <f t="shared" si="2"/>
        <v>0</v>
      </c>
      <c r="L34" s="32">
        <f t="shared" si="3"/>
        <v>21.496708975466117</v>
      </c>
      <c r="M34" s="33">
        <f t="shared" si="4"/>
        <v>0</v>
      </c>
    </row>
    <row r="35" spans="1:13" ht="12.75">
      <c r="A35" s="157" t="s">
        <v>29</v>
      </c>
      <c r="B35" s="154" t="s">
        <v>51</v>
      </c>
      <c r="C35" s="161" t="s">
        <v>80</v>
      </c>
      <c r="D35" s="164">
        <v>47723</v>
      </c>
      <c r="E35" s="170">
        <v>191316122</v>
      </c>
      <c r="F35" s="167">
        <v>218405068</v>
      </c>
      <c r="G35" s="106">
        <f t="shared" si="0"/>
        <v>-27088946</v>
      </c>
      <c r="H35" s="175">
        <v>44351171.63</v>
      </c>
      <c r="I35" s="176">
        <v>227607.45</v>
      </c>
      <c r="J35" s="34">
        <f t="shared" si="1"/>
        <v>929.3458422563544</v>
      </c>
      <c r="K35" s="35">
        <f t="shared" si="2"/>
        <v>4.769344969930642</v>
      </c>
      <c r="L35" s="32">
        <f t="shared" si="3"/>
        <v>23.182140201441047</v>
      </c>
      <c r="M35" s="33">
        <f t="shared" si="4"/>
        <v>0.11896929940906915</v>
      </c>
    </row>
    <row r="36" spans="1:13" ht="12.75">
      <c r="A36" s="157" t="s">
        <v>29</v>
      </c>
      <c r="B36" s="154" t="s">
        <v>53</v>
      </c>
      <c r="C36" s="161" t="s">
        <v>81</v>
      </c>
      <c r="D36" s="164">
        <v>67127</v>
      </c>
      <c r="E36" s="170">
        <v>218293902</v>
      </c>
      <c r="F36" s="167">
        <v>254154915</v>
      </c>
      <c r="G36" s="106">
        <f t="shared" si="0"/>
        <v>-35861013</v>
      </c>
      <c r="H36" s="175">
        <v>38482905.59</v>
      </c>
      <c r="I36" s="176">
        <v>906050.31</v>
      </c>
      <c r="J36" s="34">
        <f t="shared" si="1"/>
        <v>573.2850505757743</v>
      </c>
      <c r="K36" s="35">
        <f t="shared" si="2"/>
        <v>13.497554039358231</v>
      </c>
      <c r="L36" s="32">
        <f t="shared" si="3"/>
        <v>17.628942099353743</v>
      </c>
      <c r="M36" s="33">
        <f t="shared" si="4"/>
        <v>0.4150598352490854</v>
      </c>
    </row>
    <row r="37" spans="1:13" ht="12.75">
      <c r="A37" s="157" t="s">
        <v>29</v>
      </c>
      <c r="B37" s="154" t="s">
        <v>59</v>
      </c>
      <c r="C37" s="161" t="s">
        <v>82</v>
      </c>
      <c r="D37" s="164">
        <v>163508</v>
      </c>
      <c r="E37" s="170">
        <v>625841003</v>
      </c>
      <c r="F37" s="167">
        <v>683513400</v>
      </c>
      <c r="G37" s="106">
        <f t="shared" si="0"/>
        <v>-57672397</v>
      </c>
      <c r="H37" s="175">
        <v>189242332.17</v>
      </c>
      <c r="I37" s="176">
        <v>4811.88</v>
      </c>
      <c r="J37" s="34">
        <f t="shared" si="1"/>
        <v>1157.3888260513247</v>
      </c>
      <c r="K37" s="35">
        <f t="shared" si="2"/>
        <v>0.029429018763607897</v>
      </c>
      <c r="L37" s="32">
        <f t="shared" si="3"/>
        <v>30.238084635371838</v>
      </c>
      <c r="M37" s="33">
        <f t="shared" si="4"/>
        <v>0.0007688662099373505</v>
      </c>
    </row>
    <row r="38" spans="1:13" ht="12.75">
      <c r="A38" s="157" t="s">
        <v>29</v>
      </c>
      <c r="B38" s="154" t="s">
        <v>55</v>
      </c>
      <c r="C38" s="161" t="s">
        <v>83</v>
      </c>
      <c r="D38" s="164">
        <v>50047</v>
      </c>
      <c r="E38" s="170">
        <v>146212572</v>
      </c>
      <c r="F38" s="167">
        <v>148560537</v>
      </c>
      <c r="G38" s="106">
        <f t="shared" si="0"/>
        <v>-2347965</v>
      </c>
      <c r="H38" s="175">
        <v>47980261.69</v>
      </c>
      <c r="I38" s="176">
        <v>4017656.69</v>
      </c>
      <c r="J38" s="34">
        <f t="shared" si="1"/>
        <v>958.7040519911283</v>
      </c>
      <c r="K38" s="35">
        <f t="shared" si="2"/>
        <v>80.27767278757968</v>
      </c>
      <c r="L38" s="32">
        <f t="shared" si="3"/>
        <v>32.8154145937601</v>
      </c>
      <c r="M38" s="33">
        <f t="shared" si="4"/>
        <v>2.7478189016468435</v>
      </c>
    </row>
    <row r="39" spans="1:13" ht="12.75">
      <c r="A39" s="157" t="s">
        <v>31</v>
      </c>
      <c r="B39" s="154" t="s">
        <v>51</v>
      </c>
      <c r="C39" s="161" t="s">
        <v>84</v>
      </c>
      <c r="D39" s="164">
        <v>294830</v>
      </c>
      <c r="E39" s="170">
        <v>924342209</v>
      </c>
      <c r="F39" s="167">
        <v>1051061600</v>
      </c>
      <c r="G39" s="106">
        <f t="shared" si="0"/>
        <v>-126719391</v>
      </c>
      <c r="H39" s="175">
        <v>166145474.78</v>
      </c>
      <c r="I39" s="176">
        <v>352</v>
      </c>
      <c r="J39" s="34">
        <f t="shared" si="1"/>
        <v>563.5297452091036</v>
      </c>
      <c r="K39" s="35">
        <f t="shared" si="2"/>
        <v>0.0011939083539666926</v>
      </c>
      <c r="L39" s="32">
        <f t="shared" si="3"/>
        <v>17.97445504081703</v>
      </c>
      <c r="M39" s="33">
        <f t="shared" si="4"/>
        <v>3.808113451627524E-05</v>
      </c>
    </row>
    <row r="40" spans="1:13" ht="12.75">
      <c r="A40" s="157" t="s">
        <v>31</v>
      </c>
      <c r="B40" s="154" t="s">
        <v>53</v>
      </c>
      <c r="C40" s="161" t="s">
        <v>85</v>
      </c>
      <c r="D40" s="164">
        <v>63387</v>
      </c>
      <c r="E40" s="170">
        <v>187995559</v>
      </c>
      <c r="F40" s="167">
        <v>200951354</v>
      </c>
      <c r="G40" s="106">
        <f t="shared" si="0"/>
        <v>-12955795</v>
      </c>
      <c r="H40" s="175">
        <v>10373210</v>
      </c>
      <c r="I40" s="176">
        <v>0</v>
      </c>
      <c r="J40" s="34">
        <f t="shared" si="1"/>
        <v>163.64885544354522</v>
      </c>
      <c r="K40" s="35">
        <f t="shared" si="2"/>
        <v>0</v>
      </c>
      <c r="L40" s="32">
        <f t="shared" si="3"/>
        <v>5.5177952368545045</v>
      </c>
      <c r="M40" s="33">
        <f t="shared" si="4"/>
        <v>0</v>
      </c>
    </row>
    <row r="41" spans="1:13" ht="12.75">
      <c r="A41" s="157" t="s">
        <v>31</v>
      </c>
      <c r="B41" s="154" t="s">
        <v>59</v>
      </c>
      <c r="C41" s="161" t="s">
        <v>86</v>
      </c>
      <c r="D41" s="164">
        <v>69246</v>
      </c>
      <c r="E41" s="170">
        <v>218937970</v>
      </c>
      <c r="F41" s="167">
        <v>221040987</v>
      </c>
      <c r="G41" s="106">
        <f t="shared" si="0"/>
        <v>-2103017</v>
      </c>
      <c r="H41" s="175">
        <v>69412427.3</v>
      </c>
      <c r="I41" s="176">
        <v>311424.36</v>
      </c>
      <c r="J41" s="34">
        <f t="shared" si="1"/>
        <v>1002.4034211362389</v>
      </c>
      <c r="K41" s="35">
        <f t="shared" si="2"/>
        <v>4.497362446928342</v>
      </c>
      <c r="L41" s="32">
        <f t="shared" si="3"/>
        <v>31.704152230880737</v>
      </c>
      <c r="M41" s="33">
        <f t="shared" si="4"/>
        <v>0.14224319335746102</v>
      </c>
    </row>
    <row r="42" spans="1:13" ht="12.75">
      <c r="A42" s="157" t="s">
        <v>33</v>
      </c>
      <c r="B42" s="154" t="s">
        <v>51</v>
      </c>
      <c r="C42" s="161" t="s">
        <v>87</v>
      </c>
      <c r="D42" s="164">
        <v>456658</v>
      </c>
      <c r="E42" s="170">
        <v>1640855760</v>
      </c>
      <c r="F42" s="167">
        <v>1935479874</v>
      </c>
      <c r="G42" s="106">
        <f aca="true" t="shared" si="5" ref="G42:G73">E42-F42</f>
        <v>-294624114</v>
      </c>
      <c r="H42" s="175">
        <v>222343437.92</v>
      </c>
      <c r="I42" s="176">
        <v>0</v>
      </c>
      <c r="J42" s="34">
        <f aca="true" t="shared" si="6" ref="J42:J75">H42/D42</f>
        <v>486.89268099978534</v>
      </c>
      <c r="K42" s="35">
        <f aca="true" t="shared" si="7" ref="K42:K75">I42/D42</f>
        <v>0</v>
      </c>
      <c r="L42" s="32">
        <f aca="true" t="shared" si="8" ref="L42:L75">H42/E42*100</f>
        <v>13.550456008394058</v>
      </c>
      <c r="M42" s="33">
        <f aca="true" t="shared" si="9" ref="M42:M75">I42/E42*100</f>
        <v>0</v>
      </c>
    </row>
    <row r="43" spans="1:13" ht="12.75">
      <c r="A43" s="157" t="s">
        <v>33</v>
      </c>
      <c r="B43" s="154" t="s">
        <v>53</v>
      </c>
      <c r="C43" s="161" t="s">
        <v>88</v>
      </c>
      <c r="D43" s="164">
        <v>251844</v>
      </c>
      <c r="E43" s="170">
        <v>911556616</v>
      </c>
      <c r="F43" s="167">
        <v>1097169736</v>
      </c>
      <c r="G43" s="106">
        <f t="shared" si="5"/>
        <v>-185613120</v>
      </c>
      <c r="H43" s="175">
        <v>153697054.58</v>
      </c>
      <c r="I43" s="176">
        <v>45729.71</v>
      </c>
      <c r="J43" s="34">
        <f t="shared" si="6"/>
        <v>610.2867433014088</v>
      </c>
      <c r="K43" s="35">
        <f t="shared" si="7"/>
        <v>0.18157950953765029</v>
      </c>
      <c r="L43" s="32">
        <f t="shared" si="8"/>
        <v>16.860944441875457</v>
      </c>
      <c r="M43" s="33">
        <f t="shared" si="9"/>
        <v>0.005016661521328917</v>
      </c>
    </row>
    <row r="44" spans="1:13" ht="12.75">
      <c r="A44" s="157" t="s">
        <v>33</v>
      </c>
      <c r="B44" s="154" t="s">
        <v>59</v>
      </c>
      <c r="C44" s="161" t="s">
        <v>89</v>
      </c>
      <c r="D44" s="164">
        <v>98092</v>
      </c>
      <c r="E44" s="170">
        <v>348191158</v>
      </c>
      <c r="F44" s="167">
        <v>373803756</v>
      </c>
      <c r="G44" s="106">
        <f t="shared" si="5"/>
        <v>-25612598</v>
      </c>
      <c r="H44" s="175">
        <v>107475270.69</v>
      </c>
      <c r="I44" s="176">
        <v>0</v>
      </c>
      <c r="J44" s="34">
        <f t="shared" si="6"/>
        <v>1095.657858846797</v>
      </c>
      <c r="K44" s="35">
        <f t="shared" si="7"/>
        <v>0</v>
      </c>
      <c r="L44" s="32">
        <f t="shared" si="8"/>
        <v>30.86674323016554</v>
      </c>
      <c r="M44" s="33">
        <f t="shared" si="9"/>
        <v>0</v>
      </c>
    </row>
    <row r="45" spans="1:13" ht="12.75">
      <c r="A45" s="157" t="s">
        <v>33</v>
      </c>
      <c r="B45" s="154" t="s">
        <v>55</v>
      </c>
      <c r="C45" s="161" t="s">
        <v>90</v>
      </c>
      <c r="D45" s="164">
        <v>39624</v>
      </c>
      <c r="E45" s="170">
        <v>299391156</v>
      </c>
      <c r="F45" s="167">
        <v>434936873</v>
      </c>
      <c r="G45" s="106">
        <f t="shared" si="5"/>
        <v>-135545717</v>
      </c>
      <c r="H45" s="175">
        <v>7471012.28</v>
      </c>
      <c r="I45" s="176">
        <v>0</v>
      </c>
      <c r="J45" s="34">
        <f t="shared" si="6"/>
        <v>188.54765495659197</v>
      </c>
      <c r="K45" s="35">
        <f t="shared" si="7"/>
        <v>0</v>
      </c>
      <c r="L45" s="32">
        <f t="shared" si="8"/>
        <v>2.4954017947009763</v>
      </c>
      <c r="M45" s="33">
        <f t="shared" si="9"/>
        <v>0</v>
      </c>
    </row>
    <row r="46" spans="1:13" ht="12.75">
      <c r="A46" s="157" t="s">
        <v>35</v>
      </c>
      <c r="B46" s="154" t="s">
        <v>51</v>
      </c>
      <c r="C46" s="161" t="s">
        <v>91</v>
      </c>
      <c r="D46" s="164">
        <v>176453</v>
      </c>
      <c r="E46" s="170">
        <v>580071864.2499999</v>
      </c>
      <c r="F46" s="167">
        <v>667994843.2200005</v>
      </c>
      <c r="G46" s="106">
        <f t="shared" si="5"/>
        <v>-87922978.97000062</v>
      </c>
      <c r="H46" s="175">
        <v>54179694.83</v>
      </c>
      <c r="I46" s="176">
        <v>38184</v>
      </c>
      <c r="J46" s="34">
        <f t="shared" si="6"/>
        <v>307.048873241033</v>
      </c>
      <c r="K46" s="35">
        <f t="shared" si="7"/>
        <v>0.2163975676242399</v>
      </c>
      <c r="L46" s="32">
        <f t="shared" si="8"/>
        <v>9.340169411604075</v>
      </c>
      <c r="M46" s="33">
        <f t="shared" si="9"/>
        <v>0.006582632662139156</v>
      </c>
    </row>
    <row r="47" spans="1:13" ht="12.75">
      <c r="A47" s="157" t="s">
        <v>35</v>
      </c>
      <c r="B47" s="154" t="s">
        <v>53</v>
      </c>
      <c r="C47" s="161" t="s">
        <v>92</v>
      </c>
      <c r="D47" s="164">
        <v>186540</v>
      </c>
      <c r="E47" s="170">
        <v>552658235</v>
      </c>
      <c r="F47" s="167">
        <v>638098437</v>
      </c>
      <c r="G47" s="106">
        <f t="shared" si="5"/>
        <v>-85440202</v>
      </c>
      <c r="H47" s="175">
        <v>28118277.9</v>
      </c>
      <c r="I47" s="176">
        <v>0</v>
      </c>
      <c r="J47" s="34">
        <f t="shared" si="6"/>
        <v>150.73591669347056</v>
      </c>
      <c r="K47" s="35">
        <f t="shared" si="7"/>
        <v>0</v>
      </c>
      <c r="L47" s="32">
        <f t="shared" si="8"/>
        <v>5.087823924310111</v>
      </c>
      <c r="M47" s="33">
        <f t="shared" si="9"/>
        <v>0</v>
      </c>
    </row>
    <row r="48" spans="1:13" ht="12.75">
      <c r="A48" s="157" t="s">
        <v>35</v>
      </c>
      <c r="B48" s="154" t="s">
        <v>59</v>
      </c>
      <c r="C48" s="161" t="s">
        <v>93</v>
      </c>
      <c r="D48" s="164">
        <v>113978</v>
      </c>
      <c r="E48" s="170">
        <v>396382732.90999997</v>
      </c>
      <c r="F48" s="167">
        <v>401875571.90999997</v>
      </c>
      <c r="G48" s="106">
        <f t="shared" si="5"/>
        <v>-5492839</v>
      </c>
      <c r="H48" s="175">
        <v>39728660.26</v>
      </c>
      <c r="I48" s="176">
        <v>0</v>
      </c>
      <c r="J48" s="34">
        <f t="shared" si="6"/>
        <v>348.5642866167155</v>
      </c>
      <c r="K48" s="35">
        <f t="shared" si="7"/>
        <v>0</v>
      </c>
      <c r="L48" s="32">
        <f t="shared" si="8"/>
        <v>10.022802953180236</v>
      </c>
      <c r="M48" s="33">
        <f t="shared" si="9"/>
        <v>0</v>
      </c>
    </row>
    <row r="49" spans="1:13" ht="12.75">
      <c r="A49" s="157" t="s">
        <v>35</v>
      </c>
      <c r="B49" s="154" t="s">
        <v>55</v>
      </c>
      <c r="C49" s="161" t="s">
        <v>94</v>
      </c>
      <c r="D49" s="164">
        <v>245030</v>
      </c>
      <c r="E49" s="170">
        <v>697883843</v>
      </c>
      <c r="F49" s="167">
        <v>777027566</v>
      </c>
      <c r="G49" s="106">
        <f t="shared" si="5"/>
        <v>-79143723</v>
      </c>
      <c r="H49" s="175">
        <v>231966597.59</v>
      </c>
      <c r="I49" s="176">
        <v>31636.6</v>
      </c>
      <c r="J49" s="34">
        <f t="shared" si="6"/>
        <v>946.6865183446924</v>
      </c>
      <c r="K49" s="35">
        <f t="shared" si="7"/>
        <v>0.1291131698159409</v>
      </c>
      <c r="L49" s="32">
        <f t="shared" si="8"/>
        <v>33.23856826844464</v>
      </c>
      <c r="M49" s="33">
        <f t="shared" si="9"/>
        <v>0.00453321857459881</v>
      </c>
    </row>
    <row r="50" spans="1:13" ht="12.75">
      <c r="A50" s="157" t="s">
        <v>35</v>
      </c>
      <c r="B50" s="154" t="s">
        <v>78</v>
      </c>
      <c r="C50" s="161" t="s">
        <v>95</v>
      </c>
      <c r="D50" s="164">
        <v>129559</v>
      </c>
      <c r="E50" s="170">
        <v>429786106.74</v>
      </c>
      <c r="F50" s="167">
        <v>513730144.73999995</v>
      </c>
      <c r="G50" s="106">
        <f t="shared" si="5"/>
        <v>-83944037.99999994</v>
      </c>
      <c r="H50" s="175">
        <v>81655505.65</v>
      </c>
      <c r="I50" s="176">
        <v>14441519.41</v>
      </c>
      <c r="J50" s="34">
        <f t="shared" si="6"/>
        <v>630.2573009208161</v>
      </c>
      <c r="K50" s="35">
        <f t="shared" si="7"/>
        <v>111.46674032680092</v>
      </c>
      <c r="L50" s="32">
        <f t="shared" si="8"/>
        <v>18.99910312815153</v>
      </c>
      <c r="M50" s="33">
        <f t="shared" si="9"/>
        <v>3.3601643197685833</v>
      </c>
    </row>
    <row r="51" spans="1:13" ht="12.75">
      <c r="A51" s="157" t="s">
        <v>35</v>
      </c>
      <c r="B51" s="154" t="s">
        <v>96</v>
      </c>
      <c r="C51" s="161" t="s">
        <v>97</v>
      </c>
      <c r="D51" s="164">
        <v>198499</v>
      </c>
      <c r="E51" s="170">
        <v>729756261.25</v>
      </c>
      <c r="F51" s="167">
        <v>781317901.25</v>
      </c>
      <c r="G51" s="106">
        <f t="shared" si="5"/>
        <v>-51561640</v>
      </c>
      <c r="H51" s="175">
        <v>12488449.64</v>
      </c>
      <c r="I51" s="176">
        <v>1942.59</v>
      </c>
      <c r="J51" s="34">
        <f t="shared" si="6"/>
        <v>62.91442092907269</v>
      </c>
      <c r="K51" s="35">
        <f t="shared" si="7"/>
        <v>0.009786396908800548</v>
      </c>
      <c r="L51" s="32">
        <f t="shared" si="8"/>
        <v>1.7113179157392258</v>
      </c>
      <c r="M51" s="33">
        <f t="shared" si="9"/>
        <v>0.00026619709938117367</v>
      </c>
    </row>
    <row r="52" spans="1:13" ht="12.75">
      <c r="A52" s="157" t="s">
        <v>35</v>
      </c>
      <c r="B52" s="154" t="s">
        <v>98</v>
      </c>
      <c r="C52" s="161" t="s">
        <v>99</v>
      </c>
      <c r="D52" s="164">
        <v>94716</v>
      </c>
      <c r="E52" s="170">
        <v>253718611</v>
      </c>
      <c r="F52" s="167">
        <v>272596434</v>
      </c>
      <c r="G52" s="106">
        <f t="shared" si="5"/>
        <v>-18877823</v>
      </c>
      <c r="H52" s="175">
        <v>36787098</v>
      </c>
      <c r="I52" s="176">
        <v>0</v>
      </c>
      <c r="J52" s="34">
        <f t="shared" si="6"/>
        <v>388.3937032813886</v>
      </c>
      <c r="K52" s="35">
        <f t="shared" si="7"/>
        <v>0</v>
      </c>
      <c r="L52" s="32">
        <f t="shared" si="8"/>
        <v>14.49917207689585</v>
      </c>
      <c r="M52" s="33">
        <f t="shared" si="9"/>
        <v>0</v>
      </c>
    </row>
    <row r="53" spans="1:13" ht="12.75">
      <c r="A53" s="157" t="s">
        <v>35</v>
      </c>
      <c r="B53" s="154" t="s">
        <v>100</v>
      </c>
      <c r="C53" s="161" t="s">
        <v>101</v>
      </c>
      <c r="D53" s="164">
        <v>95771</v>
      </c>
      <c r="E53" s="170">
        <v>315533422.87</v>
      </c>
      <c r="F53" s="167">
        <v>411578084.87</v>
      </c>
      <c r="G53" s="106">
        <f t="shared" si="5"/>
        <v>-96044662</v>
      </c>
      <c r="H53" s="175">
        <v>56050044.43</v>
      </c>
      <c r="I53" s="176">
        <v>0</v>
      </c>
      <c r="J53" s="34">
        <f t="shared" si="6"/>
        <v>585.2506962441657</v>
      </c>
      <c r="K53" s="35">
        <f t="shared" si="7"/>
        <v>0</v>
      </c>
      <c r="L53" s="32">
        <f t="shared" si="8"/>
        <v>17.76358393991519</v>
      </c>
      <c r="M53" s="33">
        <f t="shared" si="9"/>
        <v>0</v>
      </c>
    </row>
    <row r="54" spans="1:13" ht="12.75">
      <c r="A54" s="157" t="s">
        <v>35</v>
      </c>
      <c r="B54" s="154" t="s">
        <v>102</v>
      </c>
      <c r="C54" s="161" t="s">
        <v>103</v>
      </c>
      <c r="D54" s="164">
        <v>314500</v>
      </c>
      <c r="E54" s="170">
        <v>1084406965</v>
      </c>
      <c r="F54" s="167">
        <v>1362988043</v>
      </c>
      <c r="G54" s="106">
        <f t="shared" si="5"/>
        <v>-278581078</v>
      </c>
      <c r="H54" s="175">
        <v>150805901.97</v>
      </c>
      <c r="I54" s="176">
        <v>14233795.98</v>
      </c>
      <c r="J54" s="34">
        <f t="shared" si="6"/>
        <v>479.51002216216216</v>
      </c>
      <c r="K54" s="35">
        <f t="shared" si="7"/>
        <v>45.25849278219396</v>
      </c>
      <c r="L54" s="32">
        <f t="shared" si="8"/>
        <v>13.90676257506332</v>
      </c>
      <c r="M54" s="33">
        <f t="shared" si="9"/>
        <v>1.3125880263965293</v>
      </c>
    </row>
    <row r="55" spans="1:13" ht="12.75">
      <c r="A55" s="157" t="s">
        <v>35</v>
      </c>
      <c r="B55" s="154" t="s">
        <v>104</v>
      </c>
      <c r="C55" s="161" t="s">
        <v>105</v>
      </c>
      <c r="D55" s="164">
        <v>75063</v>
      </c>
      <c r="E55" s="170">
        <v>216485560</v>
      </c>
      <c r="F55" s="167">
        <v>267237670</v>
      </c>
      <c r="G55" s="106">
        <f t="shared" si="5"/>
        <v>-50752110</v>
      </c>
      <c r="H55" s="175">
        <v>49810174.35</v>
      </c>
      <c r="I55" s="176">
        <v>673401.12</v>
      </c>
      <c r="J55" s="34">
        <f t="shared" si="6"/>
        <v>663.5782522680948</v>
      </c>
      <c r="K55" s="35">
        <f t="shared" si="7"/>
        <v>8.971145837496502</v>
      </c>
      <c r="L55" s="32">
        <f t="shared" si="8"/>
        <v>23.0085435490478</v>
      </c>
      <c r="M55" s="33">
        <f t="shared" si="9"/>
        <v>0.3110605252378034</v>
      </c>
    </row>
    <row r="56" spans="1:13" ht="12.75">
      <c r="A56" s="157" t="s">
        <v>35</v>
      </c>
      <c r="B56" s="154" t="s">
        <v>106</v>
      </c>
      <c r="C56" s="161" t="s">
        <v>107</v>
      </c>
      <c r="D56" s="164">
        <v>59338</v>
      </c>
      <c r="E56" s="170">
        <v>137097158</v>
      </c>
      <c r="F56" s="167">
        <v>163200830</v>
      </c>
      <c r="G56" s="106">
        <f t="shared" si="5"/>
        <v>-26103672</v>
      </c>
      <c r="H56" s="175">
        <v>29430476.55</v>
      </c>
      <c r="I56" s="176">
        <v>1118478.35</v>
      </c>
      <c r="J56" s="34">
        <f t="shared" si="6"/>
        <v>495.9802580134147</v>
      </c>
      <c r="K56" s="35">
        <f t="shared" si="7"/>
        <v>18.84927618052513</v>
      </c>
      <c r="L56" s="32">
        <f t="shared" si="8"/>
        <v>21.466875739320578</v>
      </c>
      <c r="M56" s="33">
        <f t="shared" si="9"/>
        <v>0.8158289831215905</v>
      </c>
    </row>
    <row r="57" spans="1:13" ht="12.75">
      <c r="A57" s="157" t="s">
        <v>35</v>
      </c>
      <c r="B57" s="154" t="s">
        <v>108</v>
      </c>
      <c r="C57" s="161" t="s">
        <v>109</v>
      </c>
      <c r="D57" s="164">
        <v>145471</v>
      </c>
      <c r="E57" s="170">
        <v>452070896.23</v>
      </c>
      <c r="F57" s="167">
        <v>525544660.23</v>
      </c>
      <c r="G57" s="106">
        <f t="shared" si="5"/>
        <v>-73473764</v>
      </c>
      <c r="H57" s="175">
        <v>125985573.24</v>
      </c>
      <c r="I57" s="176">
        <v>0</v>
      </c>
      <c r="J57" s="34">
        <f t="shared" si="6"/>
        <v>866.0528437970454</v>
      </c>
      <c r="K57" s="35">
        <f t="shared" si="7"/>
        <v>0</v>
      </c>
      <c r="L57" s="32">
        <f t="shared" si="8"/>
        <v>27.86854325076975</v>
      </c>
      <c r="M57" s="33">
        <f t="shared" si="9"/>
        <v>0</v>
      </c>
    </row>
    <row r="58" spans="1:13" ht="12.75">
      <c r="A58" s="157" t="s">
        <v>35</v>
      </c>
      <c r="B58" s="154" t="s">
        <v>110</v>
      </c>
      <c r="C58" s="161" t="s">
        <v>111</v>
      </c>
      <c r="D58" s="164">
        <v>141388</v>
      </c>
      <c r="E58" s="170">
        <v>502525310.34999996</v>
      </c>
      <c r="F58" s="167">
        <v>625315559.9199998</v>
      </c>
      <c r="G58" s="106">
        <f t="shared" si="5"/>
        <v>-122790249.56999987</v>
      </c>
      <c r="H58" s="175">
        <v>176626610.92</v>
      </c>
      <c r="I58" s="176">
        <v>319545.93</v>
      </c>
      <c r="J58" s="34">
        <f t="shared" si="6"/>
        <v>1249.2333926500125</v>
      </c>
      <c r="K58" s="35">
        <f t="shared" si="7"/>
        <v>2.2600640082609558</v>
      </c>
      <c r="L58" s="32">
        <f t="shared" si="8"/>
        <v>35.14780395777134</v>
      </c>
      <c r="M58" s="33">
        <f t="shared" si="9"/>
        <v>0.06358802699458897</v>
      </c>
    </row>
    <row r="59" spans="1:13" ht="12.75">
      <c r="A59" s="157" t="s">
        <v>35</v>
      </c>
      <c r="B59" s="154" t="s">
        <v>112</v>
      </c>
      <c r="C59" s="161" t="s">
        <v>113</v>
      </c>
      <c r="D59" s="164">
        <v>72247</v>
      </c>
      <c r="E59" s="170">
        <v>200072840.81</v>
      </c>
      <c r="F59" s="167">
        <v>210241295.81</v>
      </c>
      <c r="G59" s="106">
        <f t="shared" si="5"/>
        <v>-10168455</v>
      </c>
      <c r="H59" s="175">
        <v>49403055</v>
      </c>
      <c r="I59" s="176">
        <v>0</v>
      </c>
      <c r="J59" s="34">
        <f t="shared" si="6"/>
        <v>683.8077013578419</v>
      </c>
      <c r="K59" s="35">
        <f t="shared" si="7"/>
        <v>0</v>
      </c>
      <c r="L59" s="32">
        <f t="shared" si="8"/>
        <v>24.69253437897441</v>
      </c>
      <c r="M59" s="33">
        <f t="shared" si="9"/>
        <v>0</v>
      </c>
    </row>
    <row r="60" spans="1:13" ht="12.75">
      <c r="A60" s="157" t="s">
        <v>35</v>
      </c>
      <c r="B60" s="154" t="s">
        <v>704</v>
      </c>
      <c r="C60" s="161" t="s">
        <v>705</v>
      </c>
      <c r="D60" s="164">
        <v>224244</v>
      </c>
      <c r="E60" s="170">
        <v>559389935</v>
      </c>
      <c r="F60" s="167">
        <v>673412322</v>
      </c>
      <c r="G60" s="106">
        <f t="shared" si="5"/>
        <v>-114022387</v>
      </c>
      <c r="H60" s="175">
        <v>54889967.88</v>
      </c>
      <c r="I60" s="176">
        <v>3759803.1</v>
      </c>
      <c r="J60" s="34">
        <f t="shared" si="6"/>
        <v>244.77786643120888</v>
      </c>
      <c r="K60" s="35">
        <f t="shared" si="7"/>
        <v>16.766571680847647</v>
      </c>
      <c r="L60" s="32">
        <f t="shared" si="8"/>
        <v>9.812469700585515</v>
      </c>
      <c r="M60" s="33">
        <f t="shared" si="9"/>
        <v>0.6721256255710071</v>
      </c>
    </row>
    <row r="61" spans="1:13" ht="12.75">
      <c r="A61" s="157" t="s">
        <v>35</v>
      </c>
      <c r="B61" s="154" t="s">
        <v>114</v>
      </c>
      <c r="C61" s="161" t="s">
        <v>115</v>
      </c>
      <c r="D61" s="164">
        <v>54938</v>
      </c>
      <c r="E61" s="170">
        <v>126904754.12</v>
      </c>
      <c r="F61" s="167">
        <v>145154754.12</v>
      </c>
      <c r="G61" s="106">
        <f t="shared" si="5"/>
        <v>-18250000</v>
      </c>
      <c r="H61" s="175">
        <v>26886944.8</v>
      </c>
      <c r="I61" s="176">
        <v>0</v>
      </c>
      <c r="J61" s="34">
        <f t="shared" si="6"/>
        <v>489.405234992173</v>
      </c>
      <c r="K61" s="35">
        <f t="shared" si="7"/>
        <v>0</v>
      </c>
      <c r="L61" s="32">
        <f t="shared" si="8"/>
        <v>21.186712023866296</v>
      </c>
      <c r="M61" s="33">
        <f t="shared" si="9"/>
        <v>0</v>
      </c>
    </row>
    <row r="62" spans="1:13" ht="12.75">
      <c r="A62" s="157" t="s">
        <v>35</v>
      </c>
      <c r="B62" s="154" t="s">
        <v>116</v>
      </c>
      <c r="C62" s="161" t="s">
        <v>117</v>
      </c>
      <c r="D62" s="164">
        <v>130492</v>
      </c>
      <c r="E62" s="170">
        <v>505159253</v>
      </c>
      <c r="F62" s="167">
        <v>708418881</v>
      </c>
      <c r="G62" s="106">
        <f t="shared" si="5"/>
        <v>-203259628</v>
      </c>
      <c r="H62" s="175">
        <v>2650342.83</v>
      </c>
      <c r="I62" s="176">
        <v>0</v>
      </c>
      <c r="J62" s="34">
        <f t="shared" si="6"/>
        <v>20.31038554087607</v>
      </c>
      <c r="K62" s="35">
        <f t="shared" si="7"/>
        <v>0</v>
      </c>
      <c r="L62" s="32">
        <f t="shared" si="8"/>
        <v>0.5246549111513553</v>
      </c>
      <c r="M62" s="33">
        <f t="shared" si="9"/>
        <v>0</v>
      </c>
    </row>
    <row r="63" spans="1:13" ht="12.75">
      <c r="A63" s="157" t="s">
        <v>35</v>
      </c>
      <c r="B63" s="154" t="s">
        <v>118</v>
      </c>
      <c r="C63" s="161" t="s">
        <v>119</v>
      </c>
      <c r="D63" s="164">
        <v>190110</v>
      </c>
      <c r="E63" s="170">
        <v>650637989</v>
      </c>
      <c r="F63" s="167">
        <v>796497518</v>
      </c>
      <c r="G63" s="106">
        <f t="shared" si="5"/>
        <v>-145859529</v>
      </c>
      <c r="H63" s="175">
        <v>59642715.27</v>
      </c>
      <c r="I63" s="176">
        <v>277.27</v>
      </c>
      <c r="J63" s="34">
        <f t="shared" si="6"/>
        <v>313.7273960864763</v>
      </c>
      <c r="K63" s="35">
        <f t="shared" si="7"/>
        <v>0.0014584714112882014</v>
      </c>
      <c r="L63" s="32">
        <f t="shared" si="8"/>
        <v>9.1668049327504</v>
      </c>
      <c r="M63" s="33">
        <f t="shared" si="9"/>
        <v>4.2615095442882294E-05</v>
      </c>
    </row>
    <row r="64" spans="1:13" ht="12.75">
      <c r="A64" s="157" t="s">
        <v>35</v>
      </c>
      <c r="B64" s="154" t="s">
        <v>120</v>
      </c>
      <c r="C64" s="161" t="s">
        <v>121</v>
      </c>
      <c r="D64" s="164">
        <v>62416</v>
      </c>
      <c r="E64" s="170">
        <v>236518192.42999998</v>
      </c>
      <c r="F64" s="167">
        <v>249395482.01000005</v>
      </c>
      <c r="G64" s="106">
        <f t="shared" si="5"/>
        <v>-12877289.580000073</v>
      </c>
      <c r="H64" s="175">
        <v>87209031.47</v>
      </c>
      <c r="I64" s="176">
        <v>0</v>
      </c>
      <c r="J64" s="34">
        <f t="shared" si="6"/>
        <v>1397.2223703857985</v>
      </c>
      <c r="K64" s="35">
        <f t="shared" si="7"/>
        <v>0</v>
      </c>
      <c r="L64" s="32">
        <f t="shared" si="8"/>
        <v>36.872018416008494</v>
      </c>
      <c r="M64" s="33">
        <f t="shared" si="9"/>
        <v>0</v>
      </c>
    </row>
    <row r="65" spans="1:13" ht="12.75">
      <c r="A65" s="157" t="s">
        <v>37</v>
      </c>
      <c r="B65" s="154" t="s">
        <v>51</v>
      </c>
      <c r="C65" s="161" t="s">
        <v>122</v>
      </c>
      <c r="D65" s="164">
        <v>207188</v>
      </c>
      <c r="E65" s="170">
        <v>671207555</v>
      </c>
      <c r="F65" s="167">
        <v>803704927</v>
      </c>
      <c r="G65" s="106">
        <f t="shared" si="5"/>
        <v>-132497372</v>
      </c>
      <c r="H65" s="175">
        <v>81051077.52</v>
      </c>
      <c r="I65" s="176">
        <v>65340.52</v>
      </c>
      <c r="J65" s="34">
        <f t="shared" si="6"/>
        <v>391.19581018205685</v>
      </c>
      <c r="K65" s="35">
        <f t="shared" si="7"/>
        <v>0.3153682645713072</v>
      </c>
      <c r="L65" s="32">
        <f t="shared" si="8"/>
        <v>12.07541198191668</v>
      </c>
      <c r="M65" s="33">
        <f t="shared" si="9"/>
        <v>0.009734771236298137</v>
      </c>
    </row>
    <row r="66" spans="1:13" ht="12.75">
      <c r="A66" s="157" t="s">
        <v>39</v>
      </c>
      <c r="B66" s="154" t="s">
        <v>51</v>
      </c>
      <c r="C66" s="161" t="s">
        <v>123</v>
      </c>
      <c r="D66" s="164">
        <v>126985</v>
      </c>
      <c r="E66" s="170">
        <v>390424543</v>
      </c>
      <c r="F66" s="167">
        <v>397236807</v>
      </c>
      <c r="G66" s="106">
        <f t="shared" si="5"/>
        <v>-6812264</v>
      </c>
      <c r="H66" s="175">
        <v>76930102.22</v>
      </c>
      <c r="I66" s="176">
        <v>415397.25</v>
      </c>
      <c r="J66" s="34">
        <f t="shared" si="6"/>
        <v>605.820389967319</v>
      </c>
      <c r="K66" s="35">
        <f t="shared" si="7"/>
        <v>3.2712308540378783</v>
      </c>
      <c r="L66" s="32">
        <f t="shared" si="8"/>
        <v>19.704217780181917</v>
      </c>
      <c r="M66" s="33">
        <f t="shared" si="9"/>
        <v>0.10639629537838761</v>
      </c>
    </row>
    <row r="67" spans="1:13" ht="12.75">
      <c r="A67" s="157" t="s">
        <v>39</v>
      </c>
      <c r="B67" s="154" t="s">
        <v>53</v>
      </c>
      <c r="C67" s="161" t="s">
        <v>124</v>
      </c>
      <c r="D67" s="164">
        <v>174941</v>
      </c>
      <c r="E67" s="170">
        <v>624984989</v>
      </c>
      <c r="F67" s="167">
        <v>699564797</v>
      </c>
      <c r="G67" s="106">
        <f t="shared" si="5"/>
        <v>-74579808</v>
      </c>
      <c r="H67" s="175">
        <v>78114411.17</v>
      </c>
      <c r="I67" s="176">
        <v>2015880.31</v>
      </c>
      <c r="J67" s="34">
        <f t="shared" si="6"/>
        <v>446.5186043866218</v>
      </c>
      <c r="K67" s="35">
        <f t="shared" si="7"/>
        <v>11.523201022058865</v>
      </c>
      <c r="L67" s="32">
        <f t="shared" si="8"/>
        <v>12.498605973718835</v>
      </c>
      <c r="M67" s="33">
        <f t="shared" si="9"/>
        <v>0.32254859644316997</v>
      </c>
    </row>
    <row r="68" spans="1:13" ht="12.75">
      <c r="A68" s="157" t="s">
        <v>41</v>
      </c>
      <c r="B68" s="154" t="s">
        <v>51</v>
      </c>
      <c r="C68" s="161" t="s">
        <v>125</v>
      </c>
      <c r="D68" s="164">
        <v>108477</v>
      </c>
      <c r="E68" s="170">
        <v>345891067</v>
      </c>
      <c r="F68" s="167">
        <v>424090926</v>
      </c>
      <c r="G68" s="106">
        <f t="shared" si="5"/>
        <v>-78199859</v>
      </c>
      <c r="H68" s="175">
        <v>86848979.56</v>
      </c>
      <c r="I68" s="176">
        <v>0</v>
      </c>
      <c r="J68" s="34">
        <f t="shared" si="6"/>
        <v>800.6211414401209</v>
      </c>
      <c r="K68" s="35">
        <f t="shared" si="7"/>
        <v>0</v>
      </c>
      <c r="L68" s="32">
        <f t="shared" si="8"/>
        <v>25.1087662694683</v>
      </c>
      <c r="M68" s="33">
        <f t="shared" si="9"/>
        <v>0</v>
      </c>
    </row>
    <row r="69" spans="1:13" ht="12.75">
      <c r="A69" s="157" t="s">
        <v>41</v>
      </c>
      <c r="B69" s="154" t="s">
        <v>53</v>
      </c>
      <c r="C69" s="161" t="s">
        <v>126</v>
      </c>
      <c r="D69" s="164">
        <v>80471</v>
      </c>
      <c r="E69" s="170">
        <v>278814546.9</v>
      </c>
      <c r="F69" s="167">
        <v>296115670.75</v>
      </c>
      <c r="G69" s="106">
        <f t="shared" si="5"/>
        <v>-17301123.850000024</v>
      </c>
      <c r="H69" s="175">
        <v>61396299.22</v>
      </c>
      <c r="I69" s="176">
        <v>437844.69</v>
      </c>
      <c r="J69" s="34">
        <f t="shared" si="6"/>
        <v>762.9618026369748</v>
      </c>
      <c r="K69" s="35">
        <f t="shared" si="7"/>
        <v>5.441024592710417</v>
      </c>
      <c r="L69" s="32">
        <f t="shared" si="8"/>
        <v>22.0204791689081</v>
      </c>
      <c r="M69" s="33">
        <f t="shared" si="9"/>
        <v>0.1570379647935077</v>
      </c>
    </row>
    <row r="70" spans="1:13" ht="12.75">
      <c r="A70" s="157" t="s">
        <v>41</v>
      </c>
      <c r="B70" s="154" t="s">
        <v>59</v>
      </c>
      <c r="C70" s="161" t="s">
        <v>127</v>
      </c>
      <c r="D70" s="164">
        <v>63955</v>
      </c>
      <c r="E70" s="170">
        <v>229745238</v>
      </c>
      <c r="F70" s="167">
        <v>252557830</v>
      </c>
      <c r="G70" s="106">
        <f t="shared" si="5"/>
        <v>-22812592</v>
      </c>
      <c r="H70" s="175">
        <v>74526533.59</v>
      </c>
      <c r="I70" s="176">
        <v>126533.59</v>
      </c>
      <c r="J70" s="34">
        <f t="shared" si="6"/>
        <v>1165.2964364005943</v>
      </c>
      <c r="K70" s="35">
        <f t="shared" si="7"/>
        <v>1.9784784614181845</v>
      </c>
      <c r="L70" s="32">
        <f t="shared" si="8"/>
        <v>32.43877184953884</v>
      </c>
      <c r="M70" s="33">
        <f t="shared" si="9"/>
        <v>0.05507560944527607</v>
      </c>
    </row>
    <row r="71" spans="1:13" ht="12.75">
      <c r="A71" s="157" t="s">
        <v>41</v>
      </c>
      <c r="B71" s="154" t="s">
        <v>55</v>
      </c>
      <c r="C71" s="161" t="s">
        <v>128</v>
      </c>
      <c r="D71" s="164">
        <v>564951</v>
      </c>
      <c r="E71" s="170">
        <v>2300571705</v>
      </c>
      <c r="F71" s="167">
        <v>2593641020</v>
      </c>
      <c r="G71" s="106">
        <f t="shared" si="5"/>
        <v>-293069315</v>
      </c>
      <c r="H71" s="175">
        <v>595170601.43</v>
      </c>
      <c r="I71" s="176">
        <v>85220.64</v>
      </c>
      <c r="J71" s="34">
        <f t="shared" si="6"/>
        <v>1053.4906592430139</v>
      </c>
      <c r="K71" s="35">
        <f t="shared" si="7"/>
        <v>0.15084607337627512</v>
      </c>
      <c r="L71" s="32">
        <f t="shared" si="8"/>
        <v>25.870552095223648</v>
      </c>
      <c r="M71" s="33">
        <f t="shared" si="9"/>
        <v>0.003704324443127931</v>
      </c>
    </row>
    <row r="72" spans="1:13" ht="12.75">
      <c r="A72" s="157" t="s">
        <v>43</v>
      </c>
      <c r="B72" s="154" t="s">
        <v>51</v>
      </c>
      <c r="C72" s="161" t="s">
        <v>129</v>
      </c>
      <c r="D72" s="164">
        <v>107693</v>
      </c>
      <c r="E72" s="170">
        <v>310300535.07</v>
      </c>
      <c r="F72" s="167">
        <v>353916205.07</v>
      </c>
      <c r="G72" s="106">
        <f t="shared" si="5"/>
        <v>-43615670</v>
      </c>
      <c r="H72" s="175">
        <v>41587727.73</v>
      </c>
      <c r="I72" s="176">
        <v>296977.45</v>
      </c>
      <c r="J72" s="34">
        <f t="shared" si="6"/>
        <v>386.1692749760894</v>
      </c>
      <c r="K72" s="35">
        <f t="shared" si="7"/>
        <v>2.757630022378428</v>
      </c>
      <c r="L72" s="32">
        <f t="shared" si="8"/>
        <v>13.402402841689693</v>
      </c>
      <c r="M72" s="33">
        <f t="shared" si="9"/>
        <v>0.0957063931369005</v>
      </c>
    </row>
    <row r="73" spans="1:13" ht="12.75">
      <c r="A73" s="157" t="s">
        <v>43</v>
      </c>
      <c r="B73" s="154" t="s">
        <v>53</v>
      </c>
      <c r="C73" s="161" t="s">
        <v>130</v>
      </c>
      <c r="D73" s="164">
        <v>409068</v>
      </c>
      <c r="E73" s="170">
        <v>1359006525</v>
      </c>
      <c r="F73" s="167">
        <v>1573708738</v>
      </c>
      <c r="G73" s="106">
        <f t="shared" si="5"/>
        <v>-214702213</v>
      </c>
      <c r="H73" s="175">
        <v>198274701.67</v>
      </c>
      <c r="I73" s="176">
        <v>1255713.26</v>
      </c>
      <c r="J73" s="34">
        <f t="shared" si="6"/>
        <v>484.69863609473236</v>
      </c>
      <c r="K73" s="35">
        <f t="shared" si="7"/>
        <v>3.0696932050417045</v>
      </c>
      <c r="L73" s="32">
        <f t="shared" si="8"/>
        <v>14.589679889138132</v>
      </c>
      <c r="M73" s="33">
        <f t="shared" si="9"/>
        <v>0.0923993547418766</v>
      </c>
    </row>
    <row r="74" spans="1:13" ht="13.5" thickBot="1">
      <c r="A74" s="158" t="s">
        <v>43</v>
      </c>
      <c r="B74" s="159" t="s">
        <v>59</v>
      </c>
      <c r="C74" s="162" t="s">
        <v>131</v>
      </c>
      <c r="D74" s="165">
        <v>40819</v>
      </c>
      <c r="E74" s="171">
        <v>218685773.66</v>
      </c>
      <c r="F74" s="168">
        <v>232350462.66</v>
      </c>
      <c r="G74" s="106">
        <f>E74-F74</f>
        <v>-13664689</v>
      </c>
      <c r="H74" s="177">
        <v>60791894.22</v>
      </c>
      <c r="I74" s="178">
        <v>67.97</v>
      </c>
      <c r="J74" s="36">
        <f t="shared" si="6"/>
        <v>1489.3038589872363</v>
      </c>
      <c r="K74" s="37">
        <f t="shared" si="7"/>
        <v>0.0016651559322864353</v>
      </c>
      <c r="L74" s="38">
        <f t="shared" si="8"/>
        <v>27.79874209582363</v>
      </c>
      <c r="M74" s="39">
        <f t="shared" si="9"/>
        <v>3.108112560887286E-05</v>
      </c>
    </row>
    <row r="75" spans="1:13" ht="13.5" thickBot="1">
      <c r="A75" s="782" t="s">
        <v>45</v>
      </c>
      <c r="B75" s="783"/>
      <c r="C75" s="784"/>
      <c r="D75" s="153">
        <f>SUM(D10:D74)</f>
        <v>12761564</v>
      </c>
      <c r="E75" s="179">
        <f>SUM(E10:E74)</f>
        <v>48147730178.34001</v>
      </c>
      <c r="F75" s="180">
        <f>SUM(F10:F74)</f>
        <v>55553768697.15001</v>
      </c>
      <c r="G75" s="181">
        <f>E75-F75</f>
        <v>-7406038518.809998</v>
      </c>
      <c r="H75" s="182">
        <f>SUM(H10:H74)</f>
        <v>10292756383.219995</v>
      </c>
      <c r="I75" s="179">
        <f>SUM(I10:I74)</f>
        <v>64235619.61000002</v>
      </c>
      <c r="J75" s="40">
        <f t="shared" si="6"/>
        <v>806.5434913165813</v>
      </c>
      <c r="K75" s="41">
        <f t="shared" si="7"/>
        <v>5.0335225063322975</v>
      </c>
      <c r="L75" s="42">
        <f t="shared" si="8"/>
        <v>21.37744883319619</v>
      </c>
      <c r="M75" s="43">
        <f t="shared" si="9"/>
        <v>0.13341359888009297</v>
      </c>
    </row>
    <row r="77" ht="12">
      <c r="A77" s="28" t="s">
        <v>706</v>
      </c>
    </row>
  </sheetData>
  <mergeCells count="16">
    <mergeCell ref="H6:H7"/>
    <mergeCell ref="E8:K8"/>
    <mergeCell ref="A6:A8"/>
    <mergeCell ref="B6:B8"/>
    <mergeCell ref="C6:C8"/>
    <mergeCell ref="D6:D8"/>
    <mergeCell ref="A3:M4"/>
    <mergeCell ref="L8:M8"/>
    <mergeCell ref="A75:C75"/>
    <mergeCell ref="J6:J7"/>
    <mergeCell ref="K6:K7"/>
    <mergeCell ref="L6:L7"/>
    <mergeCell ref="M6:M7"/>
    <mergeCell ref="E6:E7"/>
    <mergeCell ref="F6:F7"/>
    <mergeCell ref="G6:G7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89" r:id="rId1"/>
  <headerFooter alignWithMargins="0">
    <oddFooter>&amp;Rstr.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6"/>
  <dimension ref="A1:AA112"/>
  <sheetViews>
    <sheetView showGridLines="0" workbookViewId="0" topLeftCell="B1">
      <selection activeCell="A24" sqref="A24:M24"/>
    </sheetView>
  </sheetViews>
  <sheetFormatPr defaultColWidth="9.140625" defaultRowHeight="12.75"/>
  <cols>
    <col min="1" max="1" width="5.7109375" style="438" hidden="1" customWidth="1"/>
    <col min="2" max="2" width="22.8515625" style="438" customWidth="1"/>
    <col min="3" max="5" width="14.57421875" style="438" customWidth="1"/>
    <col min="6" max="6" width="13.8515625" style="438" customWidth="1"/>
    <col min="7" max="7" width="13.00390625" style="438" customWidth="1"/>
    <col min="8" max="9" width="12.28125" style="438" customWidth="1"/>
    <col min="10" max="10" width="13.00390625" style="438" customWidth="1"/>
    <col min="11" max="11" width="7.421875" style="438" customWidth="1"/>
    <col min="12" max="12" width="7.28125" style="438" customWidth="1"/>
    <col min="13" max="13" width="8.140625" style="438" customWidth="1"/>
    <col min="14" max="16384" width="9.140625" style="438" customWidth="1"/>
  </cols>
  <sheetData>
    <row r="1" spans="2:27" ht="61.5" customHeight="1">
      <c r="B1" s="793" t="str">
        <f>CONCATENATE("Informacja z wykonania budżetów miast na prawach powiatu za ",$D$110," ",$C$111," roku")</f>
        <v>Informacja z wykonania budżetów miast na prawach powiatu za 2 kwartały 2008 roku</v>
      </c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</row>
    <row r="2" spans="2:27" ht="12.75"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</row>
    <row r="3" spans="2:27" ht="66.75" customHeight="1">
      <c r="B3" s="790" t="s">
        <v>500</v>
      </c>
      <c r="C3" s="460" t="s">
        <v>589</v>
      </c>
      <c r="D3" s="460" t="s">
        <v>590</v>
      </c>
      <c r="E3" s="460" t="s">
        <v>591</v>
      </c>
      <c r="F3" s="460" t="s">
        <v>592</v>
      </c>
      <c r="G3" s="460" t="s">
        <v>593</v>
      </c>
      <c r="H3" s="460" t="s">
        <v>594</v>
      </c>
      <c r="I3" s="460" t="s">
        <v>595</v>
      </c>
      <c r="J3" s="460" t="s">
        <v>596</v>
      </c>
      <c r="K3" s="465" t="s">
        <v>501</v>
      </c>
      <c r="L3" s="460" t="s">
        <v>502</v>
      </c>
      <c r="M3" s="460" t="s">
        <v>503</v>
      </c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</row>
    <row r="4" spans="2:27" ht="12.75">
      <c r="B4" s="790"/>
      <c r="C4" s="792"/>
      <c r="D4" s="792"/>
      <c r="E4" s="792"/>
      <c r="F4" s="792"/>
      <c r="G4" s="792"/>
      <c r="H4" s="792"/>
      <c r="I4" s="792"/>
      <c r="J4" s="792"/>
      <c r="K4" s="792" t="s">
        <v>12</v>
      </c>
      <c r="L4" s="792"/>
      <c r="M4" s="792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</row>
    <row r="5" spans="2:27" ht="12.75">
      <c r="B5" s="465">
        <v>1</v>
      </c>
      <c r="C5" s="462">
        <v>2</v>
      </c>
      <c r="D5" s="462">
        <v>3</v>
      </c>
      <c r="E5" s="462">
        <v>4</v>
      </c>
      <c r="F5" s="465">
        <v>5</v>
      </c>
      <c r="G5" s="462">
        <v>6</v>
      </c>
      <c r="H5" s="465">
        <v>7</v>
      </c>
      <c r="I5" s="462">
        <v>8</v>
      </c>
      <c r="J5" s="465">
        <v>9</v>
      </c>
      <c r="K5" s="462">
        <v>10</v>
      </c>
      <c r="L5" s="465">
        <v>11</v>
      </c>
      <c r="M5" s="462">
        <v>12</v>
      </c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</row>
    <row r="6" spans="2:27" ht="25.5" customHeight="1">
      <c r="B6" s="443" t="s">
        <v>504</v>
      </c>
      <c r="C6" s="457">
        <f>48147730178.34</f>
        <v>48147730178.34</v>
      </c>
      <c r="D6" s="457">
        <f>25164743853.86</f>
        <v>25164743853.86</v>
      </c>
      <c r="E6" s="457">
        <f>24546023186.18</f>
        <v>24546023186.18</v>
      </c>
      <c r="F6" s="457">
        <f>214951352.15</f>
        <v>214951352.15</v>
      </c>
      <c r="G6" s="457">
        <f>52121756.78</f>
        <v>52121756.78</v>
      </c>
      <c r="H6" s="457">
        <f>20807061.06</f>
        <v>20807061.06</v>
      </c>
      <c r="I6" s="457">
        <f>60443117.28</f>
        <v>60443117.28</v>
      </c>
      <c r="J6" s="457">
        <f>2728852.48</f>
        <v>2728852.48</v>
      </c>
      <c r="K6" s="439">
        <f aca="true" t="shared" si="0" ref="K6:K53">IF($D$6=0,"",100*$D6/$D$6)</f>
        <v>100</v>
      </c>
      <c r="L6" s="439">
        <f aca="true" t="shared" si="1" ref="L6:L53">IF(C6=0,"",100*D6/C6)</f>
        <v>52.26569094877239</v>
      </c>
      <c r="M6" s="439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</row>
    <row r="7" spans="2:27" ht="25.5" customHeight="1">
      <c r="B7" s="443" t="s">
        <v>505</v>
      </c>
      <c r="C7" s="457">
        <f>C6-C24-C44</f>
        <v>33171392014.85</v>
      </c>
      <c r="D7" s="457">
        <f>D6-D24-D44</f>
        <v>16647422549.34</v>
      </c>
      <c r="E7" s="457">
        <f>E6-E24-E44</f>
        <v>16483066670.119999</v>
      </c>
      <c r="F7" s="457">
        <f>F6</f>
        <v>214951352.15</v>
      </c>
      <c r="G7" s="457">
        <f>G6</f>
        <v>52121756.78</v>
      </c>
      <c r="H7" s="457">
        <f>H6</f>
        <v>20807061.06</v>
      </c>
      <c r="I7" s="457">
        <f>I6</f>
        <v>60443117.28</v>
      </c>
      <c r="J7" s="457">
        <f>J6</f>
        <v>2728852.48</v>
      </c>
      <c r="K7" s="439">
        <f t="shared" si="0"/>
        <v>66.15375322720189</v>
      </c>
      <c r="L7" s="439">
        <f t="shared" si="1"/>
        <v>50.18608366476561</v>
      </c>
      <c r="M7" s="439">
        <f aca="true" t="shared" si="2" ref="M7:M23">IF($D$7=0,"",100*$D7/$D$7)</f>
        <v>100</v>
      </c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</row>
    <row r="8" spans="2:27" ht="33" customHeight="1">
      <c r="B8" s="441" t="s">
        <v>679</v>
      </c>
      <c r="C8" s="442">
        <f>1492656623</f>
        <v>1492656623</v>
      </c>
      <c r="D8" s="442">
        <f>837574013.72</f>
        <v>837574013.72</v>
      </c>
      <c r="E8" s="442">
        <f>851152645.03</f>
        <v>851152645.03</v>
      </c>
      <c r="F8" s="442">
        <f>0</f>
        <v>0</v>
      </c>
      <c r="G8" s="442">
        <f>0</f>
        <v>0</v>
      </c>
      <c r="H8" s="442">
        <f>0</f>
        <v>0</v>
      </c>
      <c r="I8" s="442">
        <f>0</f>
        <v>0</v>
      </c>
      <c r="J8" s="442">
        <f>0</f>
        <v>0</v>
      </c>
      <c r="K8" s="440">
        <f t="shared" si="0"/>
        <v>3.328362961228891</v>
      </c>
      <c r="L8" s="440">
        <f t="shared" si="1"/>
        <v>56.11297339347953</v>
      </c>
      <c r="M8" s="440">
        <f t="shared" si="2"/>
        <v>5.0312534041686</v>
      </c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</row>
    <row r="9" spans="2:27" ht="33" customHeight="1">
      <c r="B9" s="441" t="s">
        <v>680</v>
      </c>
      <c r="C9" s="442">
        <f>307405907</f>
        <v>307405907</v>
      </c>
      <c r="D9" s="442">
        <f>174418441.89</f>
        <v>174418441.89</v>
      </c>
      <c r="E9" s="442">
        <f>176967124.6</f>
        <v>176967124.6</v>
      </c>
      <c r="F9" s="442">
        <f>0</f>
        <v>0</v>
      </c>
      <c r="G9" s="442">
        <f>0</f>
        <v>0</v>
      </c>
      <c r="H9" s="442">
        <f>0</f>
        <v>0</v>
      </c>
      <c r="I9" s="442">
        <f>0</f>
        <v>0</v>
      </c>
      <c r="J9" s="442">
        <f>0</f>
        <v>0</v>
      </c>
      <c r="K9" s="440">
        <f t="shared" si="0"/>
        <v>0.6931063669986297</v>
      </c>
      <c r="L9" s="440">
        <f t="shared" si="1"/>
        <v>56.738806222744444</v>
      </c>
      <c r="M9" s="440">
        <f t="shared" si="2"/>
        <v>1.047720398596568</v>
      </c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</row>
    <row r="10" spans="2:27" ht="33" customHeight="1">
      <c r="B10" s="441" t="s">
        <v>681</v>
      </c>
      <c r="C10" s="442">
        <f>9875637019</f>
        <v>9875637019</v>
      </c>
      <c r="D10" s="442">
        <f>4556855104</f>
        <v>4556855104</v>
      </c>
      <c r="E10" s="442">
        <f>4504518318</f>
        <v>4504518318</v>
      </c>
      <c r="F10" s="442">
        <f>0</f>
        <v>0</v>
      </c>
      <c r="G10" s="442">
        <f>0</f>
        <v>0</v>
      </c>
      <c r="H10" s="442">
        <f>0</f>
        <v>0</v>
      </c>
      <c r="I10" s="442">
        <f>0</f>
        <v>0</v>
      </c>
      <c r="J10" s="442">
        <f>0</f>
        <v>0</v>
      </c>
      <c r="K10" s="440">
        <f t="shared" si="0"/>
        <v>18.108092537969654</v>
      </c>
      <c r="L10" s="440">
        <f t="shared" si="1"/>
        <v>46.142391576694706</v>
      </c>
      <c r="M10" s="440">
        <f t="shared" si="2"/>
        <v>27.372736473134456</v>
      </c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</row>
    <row r="11" spans="2:27" ht="33" customHeight="1">
      <c r="B11" s="441" t="s">
        <v>682</v>
      </c>
      <c r="C11" s="442">
        <f>2774982432</f>
        <v>2774982432</v>
      </c>
      <c r="D11" s="442">
        <f>1279941356</f>
        <v>1279941356</v>
      </c>
      <c r="E11" s="442">
        <f>1264617083</f>
        <v>1264617083</v>
      </c>
      <c r="F11" s="442">
        <f>0</f>
        <v>0</v>
      </c>
      <c r="G11" s="442">
        <f>0</f>
        <v>0</v>
      </c>
      <c r="H11" s="442">
        <f>0</f>
        <v>0</v>
      </c>
      <c r="I11" s="442">
        <f>0</f>
        <v>0</v>
      </c>
      <c r="J11" s="442">
        <f>0</f>
        <v>0</v>
      </c>
      <c r="K11" s="440">
        <f t="shared" si="0"/>
        <v>5.086248298146976</v>
      </c>
      <c r="L11" s="440">
        <f t="shared" si="1"/>
        <v>46.12430483307651</v>
      </c>
      <c r="M11" s="440">
        <f t="shared" si="2"/>
        <v>7.688525669403065</v>
      </c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</row>
    <row r="12" spans="2:27" ht="13.5" customHeight="1">
      <c r="B12" s="441" t="s">
        <v>508</v>
      </c>
      <c r="C12" s="442">
        <f>18813149</f>
        <v>18813149</v>
      </c>
      <c r="D12" s="442">
        <f>14506704.75</f>
        <v>14506704.75</v>
      </c>
      <c r="E12" s="442">
        <f>14506704.75</f>
        <v>14506704.75</v>
      </c>
      <c r="F12" s="442">
        <f>375697.74</f>
        <v>375697.74</v>
      </c>
      <c r="G12" s="442">
        <f>52907.41</f>
        <v>52907.41</v>
      </c>
      <c r="H12" s="442">
        <f>34834.17</f>
        <v>34834.17</v>
      </c>
      <c r="I12" s="442">
        <f>118140.52</f>
        <v>118140.52</v>
      </c>
      <c r="J12" s="442">
        <f>0</f>
        <v>0</v>
      </c>
      <c r="K12" s="440">
        <f t="shared" si="0"/>
        <v>0.057646939838709416</v>
      </c>
      <c r="L12" s="440">
        <f t="shared" si="1"/>
        <v>77.10939168131821</v>
      </c>
      <c r="M12" s="440">
        <f t="shared" si="2"/>
        <v>0.08714084541919151</v>
      </c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</row>
    <row r="13" spans="2:27" ht="13.5" customHeight="1">
      <c r="B13" s="441" t="s">
        <v>509</v>
      </c>
      <c r="C13" s="442">
        <f>5291934726</f>
        <v>5291934726</v>
      </c>
      <c r="D13" s="458">
        <f>2782762144.65</f>
        <v>2782762144.65</v>
      </c>
      <c r="E13" s="442">
        <f>2782747283.24</f>
        <v>2782747283.24</v>
      </c>
      <c r="F13" s="442">
        <f>151218570.1</f>
        <v>151218570.1</v>
      </c>
      <c r="G13" s="442">
        <f>51759357.19</f>
        <v>51759357.19</v>
      </c>
      <c r="H13" s="442">
        <f>15737126.3</f>
        <v>15737126.3</v>
      </c>
      <c r="I13" s="442">
        <f>46140920.01</f>
        <v>46140920.01</v>
      </c>
      <c r="J13" s="442">
        <f>1575392.94</f>
        <v>1575392.94</v>
      </c>
      <c r="K13" s="440">
        <f t="shared" si="0"/>
        <v>11.058177904811673</v>
      </c>
      <c r="L13" s="440">
        <f t="shared" si="1"/>
        <v>52.58496728952284</v>
      </c>
      <c r="M13" s="440">
        <f t="shared" si="2"/>
        <v>16.71587380209992</v>
      </c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</row>
    <row r="14" spans="2:27" ht="13.5" customHeight="1">
      <c r="B14" s="441" t="s">
        <v>510</v>
      </c>
      <c r="C14" s="442">
        <f>1394201</f>
        <v>1394201</v>
      </c>
      <c r="D14" s="458">
        <f>882304.51</f>
        <v>882304.51</v>
      </c>
      <c r="E14" s="442">
        <f>882304.51</f>
        <v>882304.51</v>
      </c>
      <c r="F14" s="442">
        <f>6970.11</f>
        <v>6970.11</v>
      </c>
      <c r="G14" s="442">
        <f>6723.52</f>
        <v>6723.52</v>
      </c>
      <c r="H14" s="442">
        <f>547.6</f>
        <v>547.6</v>
      </c>
      <c r="I14" s="442">
        <f>4.46</f>
        <v>4.46</v>
      </c>
      <c r="J14" s="442">
        <f>0</f>
        <v>0</v>
      </c>
      <c r="K14" s="440">
        <f t="shared" si="0"/>
        <v>0.0035061136132512787</v>
      </c>
      <c r="L14" s="440">
        <f t="shared" si="1"/>
        <v>63.28388159239593</v>
      </c>
      <c r="M14" s="440">
        <f t="shared" si="2"/>
        <v>0.005299946627683693</v>
      </c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</row>
    <row r="15" spans="2:27" ht="22.5" customHeight="1">
      <c r="B15" s="441" t="s">
        <v>511</v>
      </c>
      <c r="C15" s="442">
        <f>315997378</f>
        <v>315997378</v>
      </c>
      <c r="D15" s="458">
        <f>165191398.05</f>
        <v>165191398.05</v>
      </c>
      <c r="E15" s="442">
        <f>165191398.05</f>
        <v>165191398.05</v>
      </c>
      <c r="F15" s="442">
        <f>62109236.85</f>
        <v>62109236.85</v>
      </c>
      <c r="G15" s="442">
        <f>25399.3</f>
        <v>25399.3</v>
      </c>
      <c r="H15" s="442">
        <f>806308.7</f>
        <v>806308.7</v>
      </c>
      <c r="I15" s="442">
        <f>2327569.95</f>
        <v>2327569.95</v>
      </c>
      <c r="J15" s="442">
        <f>2714</f>
        <v>2714</v>
      </c>
      <c r="K15" s="440">
        <f t="shared" si="0"/>
        <v>0.6564398152006679</v>
      </c>
      <c r="L15" s="440">
        <f t="shared" si="1"/>
        <v>52.276192636636374</v>
      </c>
      <c r="M15" s="440">
        <f t="shared" si="2"/>
        <v>0.9922941377886102</v>
      </c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</row>
    <row r="16" spans="2:27" ht="33" customHeight="1">
      <c r="B16" s="441" t="s">
        <v>512</v>
      </c>
      <c r="C16" s="442">
        <f>52125131</f>
        <v>52125131</v>
      </c>
      <c r="D16" s="458">
        <f>22455714.35</f>
        <v>22455714.35</v>
      </c>
      <c r="E16" s="442">
        <f>22329525.99</f>
        <v>22329525.99</v>
      </c>
      <c r="F16" s="442">
        <f>0</f>
        <v>0</v>
      </c>
      <c r="G16" s="442">
        <f>3069</f>
        <v>3069</v>
      </c>
      <c r="H16" s="442">
        <f>120303.3</f>
        <v>120303.3</v>
      </c>
      <c r="I16" s="442">
        <f>396816.1</f>
        <v>396816.1</v>
      </c>
      <c r="J16" s="442">
        <f>0</f>
        <v>0</v>
      </c>
      <c r="K16" s="440">
        <f t="shared" si="0"/>
        <v>0.08923482186191828</v>
      </c>
      <c r="L16" s="440">
        <f t="shared" si="1"/>
        <v>43.080398877079084</v>
      </c>
      <c r="M16" s="440">
        <f t="shared" si="2"/>
        <v>0.13489003648129466</v>
      </c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</row>
    <row r="17" spans="2:27" ht="22.5" customHeight="1">
      <c r="B17" s="441" t="s">
        <v>513</v>
      </c>
      <c r="C17" s="442">
        <f>158584078</f>
        <v>158584078</v>
      </c>
      <c r="D17" s="458">
        <f>98479790.14</f>
        <v>98479790.14</v>
      </c>
      <c r="E17" s="442">
        <f>97211241.04</f>
        <v>97211241.04</v>
      </c>
      <c r="F17" s="442">
        <f>0</f>
        <v>0</v>
      </c>
      <c r="G17" s="442">
        <f>26468</f>
        <v>26468</v>
      </c>
      <c r="H17" s="442">
        <f>1421047.87</f>
        <v>1421047.87</v>
      </c>
      <c r="I17" s="442">
        <f>5784987.69</f>
        <v>5784987.69</v>
      </c>
      <c r="J17" s="442">
        <f>0</f>
        <v>0</v>
      </c>
      <c r="K17" s="440">
        <f t="shared" si="0"/>
        <v>0.3913403240339133</v>
      </c>
      <c r="L17" s="440">
        <f t="shared" si="1"/>
        <v>62.09941841702418</v>
      </c>
      <c r="M17" s="440">
        <f t="shared" si="2"/>
        <v>0.5915617859048355</v>
      </c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</row>
    <row r="18" spans="2:27" ht="22.5" customHeight="1">
      <c r="B18" s="441" t="s">
        <v>514</v>
      </c>
      <c r="C18" s="442">
        <f>1546346368</f>
        <v>1546346368</v>
      </c>
      <c r="D18" s="458">
        <f>689966583.71</f>
        <v>689966583.71</v>
      </c>
      <c r="E18" s="442">
        <f>688686208.22</f>
        <v>688686208.22</v>
      </c>
      <c r="F18" s="442">
        <f>0</f>
        <v>0</v>
      </c>
      <c r="G18" s="442">
        <f>0</f>
        <v>0</v>
      </c>
      <c r="H18" s="442">
        <f>45419</f>
        <v>45419</v>
      </c>
      <c r="I18" s="442">
        <f>126604.67</f>
        <v>126604.67</v>
      </c>
      <c r="J18" s="442">
        <f>0</f>
        <v>0</v>
      </c>
      <c r="K18" s="440">
        <f t="shared" si="0"/>
        <v>2.7417985564123537</v>
      </c>
      <c r="L18" s="440">
        <f t="shared" si="1"/>
        <v>44.6191485936222</v>
      </c>
      <c r="M18" s="440">
        <f t="shared" si="2"/>
        <v>4.14458503510115</v>
      </c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</row>
    <row r="19" spans="2:27" ht="13.5" customHeight="1">
      <c r="B19" s="441" t="s">
        <v>683</v>
      </c>
      <c r="C19" s="442">
        <f>319930609</f>
        <v>319930609</v>
      </c>
      <c r="D19" s="458">
        <f>173892004.12</f>
        <v>173892004.12</v>
      </c>
      <c r="E19" s="442">
        <f>173588056.59</f>
        <v>173588056.59</v>
      </c>
      <c r="F19" s="442">
        <f>0</f>
        <v>0</v>
      </c>
      <c r="G19" s="442">
        <f>0</f>
        <v>0</v>
      </c>
      <c r="H19" s="442">
        <f>13302</f>
        <v>13302</v>
      </c>
      <c r="I19" s="442">
        <f>1342.4</f>
        <v>1342.4</v>
      </c>
      <c r="J19" s="442">
        <f>0</f>
        <v>0</v>
      </c>
      <c r="K19" s="440">
        <f t="shared" si="0"/>
        <v>0.6910144014572469</v>
      </c>
      <c r="L19" s="440">
        <f t="shared" si="1"/>
        <v>54.353037573844645</v>
      </c>
      <c r="M19" s="440">
        <f t="shared" si="2"/>
        <v>1.0445581206617123</v>
      </c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</row>
    <row r="20" spans="2:27" ht="13.5" customHeight="1">
      <c r="B20" s="441" t="s">
        <v>684</v>
      </c>
      <c r="C20" s="442">
        <f>5763523</f>
        <v>5763523</v>
      </c>
      <c r="D20" s="458">
        <f>3464873.66</f>
        <v>3464873.66</v>
      </c>
      <c r="E20" s="442">
        <f>3464873.66</f>
        <v>3464873.66</v>
      </c>
      <c r="F20" s="442">
        <f>0</f>
        <v>0</v>
      </c>
      <c r="G20" s="442">
        <f>0</f>
        <v>0</v>
      </c>
      <c r="H20" s="442">
        <f>0</f>
        <v>0</v>
      </c>
      <c r="I20" s="442">
        <f>0</f>
        <v>0</v>
      </c>
      <c r="J20" s="442">
        <f>0</f>
        <v>0</v>
      </c>
      <c r="K20" s="440">
        <f t="shared" si="0"/>
        <v>0.013768761884172828</v>
      </c>
      <c r="L20" s="440">
        <f t="shared" si="1"/>
        <v>60.11728694411387</v>
      </c>
      <c r="M20" s="440">
        <f t="shared" si="2"/>
        <v>0.020813273945145146</v>
      </c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</row>
    <row r="21" spans="2:27" ht="13.5" customHeight="1">
      <c r="B21" s="441" t="s">
        <v>685</v>
      </c>
      <c r="C21" s="442">
        <f>74543186</f>
        <v>74543186</v>
      </c>
      <c r="D21" s="458">
        <f>34027898.36</f>
        <v>34027898.36</v>
      </c>
      <c r="E21" s="442">
        <f>34027898.36</f>
        <v>34027898.36</v>
      </c>
      <c r="F21" s="442">
        <f>0</f>
        <v>0</v>
      </c>
      <c r="G21" s="442">
        <f>1368</f>
        <v>1368</v>
      </c>
      <c r="H21" s="442">
        <f>122749.3</f>
        <v>122749.3</v>
      </c>
      <c r="I21" s="442">
        <f>85123.8</f>
        <v>85123.8</v>
      </c>
      <c r="J21" s="442">
        <f>0</f>
        <v>0</v>
      </c>
      <c r="K21" s="440">
        <f t="shared" si="0"/>
        <v>0.13522052343394103</v>
      </c>
      <c r="L21" s="440">
        <f t="shared" si="1"/>
        <v>45.64856989074762</v>
      </c>
      <c r="M21" s="440">
        <f t="shared" si="2"/>
        <v>0.20440340394524956</v>
      </c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</row>
    <row r="22" spans="2:27" ht="13.5" customHeight="1">
      <c r="B22" s="441" t="s">
        <v>518</v>
      </c>
      <c r="C22" s="442">
        <f>3239029455.34</f>
        <v>3239029455.34</v>
      </c>
      <c r="D22" s="458">
        <f>1506928858.93</f>
        <v>1506928858.93</v>
      </c>
      <c r="E22" s="442">
        <f>1489983699.64</f>
        <v>1489983699.64</v>
      </c>
      <c r="F22" s="442">
        <f>0</f>
        <v>0</v>
      </c>
      <c r="G22" s="442">
        <f>52628.16</f>
        <v>52628.16</v>
      </c>
      <c r="H22" s="442">
        <f>0</f>
        <v>0</v>
      </c>
      <c r="I22" s="442">
        <f>0</f>
        <v>0</v>
      </c>
      <c r="J22" s="442">
        <f>0</f>
        <v>0</v>
      </c>
      <c r="K22" s="440">
        <f t="shared" si="0"/>
        <v>5.9882543119899605</v>
      </c>
      <c r="L22" s="440">
        <f t="shared" si="1"/>
        <v>46.52408629522074</v>
      </c>
      <c r="M22" s="440">
        <f t="shared" si="2"/>
        <v>9.052025047503484</v>
      </c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</row>
    <row r="23" spans="2:27" ht="13.5" customHeight="1">
      <c r="B23" s="441" t="s">
        <v>519</v>
      </c>
      <c r="C23" s="442">
        <f aca="true" t="shared" si="3" ref="C23:J23">C7-SUM(C8:C22)</f>
        <v>7696248229.509998</v>
      </c>
      <c r="D23" s="442">
        <f t="shared" si="3"/>
        <v>4306075358.499998</v>
      </c>
      <c r="E23" s="442">
        <f t="shared" si="3"/>
        <v>4213192305.4400005</v>
      </c>
      <c r="F23" s="442">
        <f t="shared" si="3"/>
        <v>1240877.349999994</v>
      </c>
      <c r="G23" s="442">
        <f t="shared" si="3"/>
        <v>193836.20000001043</v>
      </c>
      <c r="H23" s="442">
        <f t="shared" si="3"/>
        <v>2505422.8199999966</v>
      </c>
      <c r="I23" s="442">
        <f t="shared" si="3"/>
        <v>5461607.68</v>
      </c>
      <c r="J23" s="442">
        <f t="shared" si="3"/>
        <v>1150745.54</v>
      </c>
      <c r="K23" s="440">
        <f t="shared" si="0"/>
        <v>17.111540588319926</v>
      </c>
      <c r="L23" s="440">
        <f t="shared" si="1"/>
        <v>55.95031800025706</v>
      </c>
      <c r="M23" s="440">
        <f t="shared" si="2"/>
        <v>25.86631861921902</v>
      </c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</row>
    <row r="24" spans="2:27" ht="25.5" customHeight="1">
      <c r="B24" s="443" t="s">
        <v>520</v>
      </c>
      <c r="C24" s="457">
        <f>C25+C32+C39</f>
        <v>4816307189.489999</v>
      </c>
      <c r="D24" s="457">
        <f>D25+D32+D39</f>
        <v>2394613339.52</v>
      </c>
      <c r="E24" s="457">
        <f>E25+E32+E39</f>
        <v>2377618132.06</v>
      </c>
      <c r="F24" s="442" t="s">
        <v>521</v>
      </c>
      <c r="G24" s="442" t="s">
        <v>521</v>
      </c>
      <c r="H24" s="442" t="s">
        <v>521</v>
      </c>
      <c r="I24" s="442" t="s">
        <v>521</v>
      </c>
      <c r="J24" s="442" t="s">
        <v>521</v>
      </c>
      <c r="K24" s="439">
        <f t="shared" si="0"/>
        <v>9.515746925247134</v>
      </c>
      <c r="L24" s="439">
        <f t="shared" si="1"/>
        <v>49.71886645323316</v>
      </c>
      <c r="M24" s="446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</row>
    <row r="25" spans="2:27" ht="13.5" customHeight="1">
      <c r="B25" s="444" t="s">
        <v>686</v>
      </c>
      <c r="C25" s="457">
        <f>C26+C28+C30</f>
        <v>3156409682.68</v>
      </c>
      <c r="D25" s="457">
        <f>D26+D28+D30</f>
        <v>1539481505.69</v>
      </c>
      <c r="E25" s="457">
        <f>E26+E28+E30</f>
        <v>1537438966.59</v>
      </c>
      <c r="F25" s="442" t="s">
        <v>521</v>
      </c>
      <c r="G25" s="442" t="s">
        <v>521</v>
      </c>
      <c r="H25" s="442" t="s">
        <v>521</v>
      </c>
      <c r="I25" s="442" t="s">
        <v>521</v>
      </c>
      <c r="J25" s="442" t="s">
        <v>521</v>
      </c>
      <c r="K25" s="439">
        <f t="shared" si="0"/>
        <v>6.117612460632538</v>
      </c>
      <c r="L25" s="439">
        <f t="shared" si="1"/>
        <v>48.77318410653457</v>
      </c>
      <c r="M25" s="446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</row>
    <row r="26" spans="2:27" ht="22.5" customHeight="1">
      <c r="B26" s="441" t="s">
        <v>522</v>
      </c>
      <c r="C26" s="442">
        <f>2341405471.68</f>
        <v>2341405471.68</v>
      </c>
      <c r="D26" s="458">
        <f>1168594395.14</f>
        <v>1168594395.14</v>
      </c>
      <c r="E26" s="442">
        <f>1167446278.23</f>
        <v>1167446278.23</v>
      </c>
      <c r="F26" s="442" t="s">
        <v>521</v>
      </c>
      <c r="G26" s="442" t="s">
        <v>521</v>
      </c>
      <c r="H26" s="442" t="s">
        <v>521</v>
      </c>
      <c r="I26" s="442" t="s">
        <v>521</v>
      </c>
      <c r="J26" s="442" t="s">
        <v>521</v>
      </c>
      <c r="K26" s="440">
        <f t="shared" si="0"/>
        <v>4.643776236811369</v>
      </c>
      <c r="L26" s="440">
        <f t="shared" si="1"/>
        <v>49.90995405428488</v>
      </c>
      <c r="M26" s="446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</row>
    <row r="27" spans="2:27" ht="13.5" customHeight="1">
      <c r="B27" s="445" t="s">
        <v>523</v>
      </c>
      <c r="C27" s="442">
        <f>72000</f>
        <v>72000</v>
      </c>
      <c r="D27" s="442">
        <f>30000</f>
        <v>30000</v>
      </c>
      <c r="E27" s="442">
        <f>30000</f>
        <v>30000</v>
      </c>
      <c r="F27" s="442" t="s">
        <v>521</v>
      </c>
      <c r="G27" s="442" t="s">
        <v>521</v>
      </c>
      <c r="H27" s="442" t="s">
        <v>521</v>
      </c>
      <c r="I27" s="442" t="s">
        <v>521</v>
      </c>
      <c r="J27" s="442" t="s">
        <v>521</v>
      </c>
      <c r="K27" s="440">
        <f t="shared" si="0"/>
        <v>0.00011921440637035661</v>
      </c>
      <c r="L27" s="440">
        <f t="shared" si="1"/>
        <v>41.666666666666664</v>
      </c>
      <c r="M27" s="446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</row>
    <row r="28" spans="2:27" ht="13.5" customHeight="1">
      <c r="B28" s="441" t="s">
        <v>524</v>
      </c>
      <c r="C28" s="442">
        <f>806981080</f>
        <v>806981080</v>
      </c>
      <c r="D28" s="458">
        <f>365968406.29</f>
        <v>365968406.29</v>
      </c>
      <c r="E28" s="442">
        <f>365073984.99</f>
        <v>365073984.99</v>
      </c>
      <c r="F28" s="442" t="s">
        <v>521</v>
      </c>
      <c r="G28" s="442" t="s">
        <v>521</v>
      </c>
      <c r="H28" s="442" t="s">
        <v>521</v>
      </c>
      <c r="I28" s="442" t="s">
        <v>521</v>
      </c>
      <c r="J28" s="442" t="s">
        <v>521</v>
      </c>
      <c r="K28" s="440">
        <f t="shared" si="0"/>
        <v>1.4542902102055943</v>
      </c>
      <c r="L28" s="440">
        <f t="shared" si="1"/>
        <v>45.35030812494389</v>
      </c>
      <c r="M28" s="446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</row>
    <row r="29" spans="2:27" ht="13.5" customHeight="1">
      <c r="B29" s="445" t="s">
        <v>523</v>
      </c>
      <c r="C29" s="442">
        <f>263543758.64</f>
        <v>263543758.64</v>
      </c>
      <c r="D29" s="442">
        <f>24661910.35</f>
        <v>24661910.35</v>
      </c>
      <c r="E29" s="442">
        <f>24661910.35</f>
        <v>24661910.35</v>
      </c>
      <c r="F29" s="442" t="s">
        <v>521</v>
      </c>
      <c r="G29" s="442" t="s">
        <v>521</v>
      </c>
      <c r="H29" s="442" t="s">
        <v>521</v>
      </c>
      <c r="I29" s="442" t="s">
        <v>521</v>
      </c>
      <c r="J29" s="442" t="s">
        <v>521</v>
      </c>
      <c r="K29" s="440">
        <f t="shared" si="0"/>
        <v>0.09800183341114012</v>
      </c>
      <c r="L29" s="440">
        <f t="shared" si="1"/>
        <v>9.357804744557848</v>
      </c>
      <c r="M29" s="446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</row>
    <row r="30" spans="2:27" ht="33" customHeight="1">
      <c r="B30" s="441" t="s">
        <v>525</v>
      </c>
      <c r="C30" s="442">
        <f>8023131</f>
        <v>8023131</v>
      </c>
      <c r="D30" s="458">
        <f>4918704.26</f>
        <v>4918704.26</v>
      </c>
      <c r="E30" s="442">
        <f>4918703.37</f>
        <v>4918703.37</v>
      </c>
      <c r="F30" s="442" t="s">
        <v>521</v>
      </c>
      <c r="G30" s="442" t="s">
        <v>521</v>
      </c>
      <c r="H30" s="442" t="s">
        <v>521</v>
      </c>
      <c r="I30" s="442" t="s">
        <v>521</v>
      </c>
      <c r="J30" s="442" t="s">
        <v>521</v>
      </c>
      <c r="K30" s="440">
        <f t="shared" si="0"/>
        <v>0.019546013615574807</v>
      </c>
      <c r="L30" s="440">
        <f t="shared" si="1"/>
        <v>61.30654304410585</v>
      </c>
      <c r="M30" s="446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</row>
    <row r="31" spans="2:27" ht="13.5" customHeight="1">
      <c r="B31" s="445" t="s">
        <v>523</v>
      </c>
      <c r="C31" s="442">
        <f>3221475</f>
        <v>3221475</v>
      </c>
      <c r="D31" s="442">
        <f>2253375</f>
        <v>2253375</v>
      </c>
      <c r="E31" s="442">
        <f>2253375</f>
        <v>2253375</v>
      </c>
      <c r="F31" s="442" t="s">
        <v>521</v>
      </c>
      <c r="G31" s="442" t="s">
        <v>521</v>
      </c>
      <c r="H31" s="442" t="s">
        <v>521</v>
      </c>
      <c r="I31" s="442" t="s">
        <v>521</v>
      </c>
      <c r="J31" s="442" t="s">
        <v>521</v>
      </c>
      <c r="K31" s="440">
        <f t="shared" si="0"/>
        <v>0.008954492098493411</v>
      </c>
      <c r="L31" s="440">
        <f t="shared" si="1"/>
        <v>69.94854841338207</v>
      </c>
      <c r="M31" s="446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</row>
    <row r="32" spans="2:27" ht="13.5" customHeight="1">
      <c r="B32" s="444" t="s">
        <v>687</v>
      </c>
      <c r="C32" s="457">
        <f>C33+C35+C37</f>
        <v>1358536444.87</v>
      </c>
      <c r="D32" s="457">
        <f>D33+D35+D37</f>
        <v>729899982.58</v>
      </c>
      <c r="E32" s="457">
        <f>E33+E35+E37</f>
        <v>715042167.72</v>
      </c>
      <c r="F32" s="442" t="s">
        <v>521</v>
      </c>
      <c r="G32" s="442" t="s">
        <v>521</v>
      </c>
      <c r="H32" s="442" t="s">
        <v>521</v>
      </c>
      <c r="I32" s="442" t="s">
        <v>521</v>
      </c>
      <c r="J32" s="442" t="s">
        <v>521</v>
      </c>
      <c r="K32" s="439">
        <f t="shared" si="0"/>
        <v>2.9004864377669444</v>
      </c>
      <c r="L32" s="439">
        <f t="shared" si="1"/>
        <v>53.72693425606592</v>
      </c>
      <c r="M32" s="446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</row>
    <row r="33" spans="2:27" ht="22.5" customHeight="1">
      <c r="B33" s="441" t="s">
        <v>522</v>
      </c>
      <c r="C33" s="442">
        <f>991352343</f>
        <v>991352343</v>
      </c>
      <c r="D33" s="442">
        <f>561430405.65</f>
        <v>561430405.65</v>
      </c>
      <c r="E33" s="442">
        <f>546578072.36</f>
        <v>546578072.36</v>
      </c>
      <c r="F33" s="442" t="s">
        <v>521</v>
      </c>
      <c r="G33" s="442" t="s">
        <v>521</v>
      </c>
      <c r="H33" s="442" t="s">
        <v>521</v>
      </c>
      <c r="I33" s="442" t="s">
        <v>521</v>
      </c>
      <c r="J33" s="442" t="s">
        <v>521</v>
      </c>
      <c r="K33" s="440">
        <f t="shared" si="0"/>
        <v>2.2310197509277754</v>
      </c>
      <c r="L33" s="440">
        <f t="shared" si="1"/>
        <v>56.63278143379543</v>
      </c>
      <c r="M33" s="446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</row>
    <row r="34" spans="2:27" ht="13.5" customHeight="1">
      <c r="B34" s="445" t="s">
        <v>523</v>
      </c>
      <c r="C34" s="442">
        <f>53039798</f>
        <v>53039798</v>
      </c>
      <c r="D34" s="458">
        <f>13341152.68</f>
        <v>13341152.68</v>
      </c>
      <c r="E34" s="442">
        <f>13341152.68</f>
        <v>13341152.68</v>
      </c>
      <c r="F34" s="442" t="s">
        <v>521</v>
      </c>
      <c r="G34" s="442" t="s">
        <v>521</v>
      </c>
      <c r="H34" s="442" t="s">
        <v>521</v>
      </c>
      <c r="I34" s="442" t="s">
        <v>521</v>
      </c>
      <c r="J34" s="442" t="s">
        <v>521</v>
      </c>
      <c r="K34" s="440">
        <f t="shared" si="0"/>
        <v>0.05301525323474974</v>
      </c>
      <c r="L34" s="440">
        <f t="shared" si="1"/>
        <v>25.153098584576057</v>
      </c>
      <c r="M34" s="446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</row>
    <row r="35" spans="2:27" ht="13.5" customHeight="1">
      <c r="B35" s="441" t="s">
        <v>524</v>
      </c>
      <c r="C35" s="442">
        <f>310814862</f>
        <v>310814862</v>
      </c>
      <c r="D35" s="442">
        <f>141428843.23</f>
        <v>141428843.23</v>
      </c>
      <c r="E35" s="442">
        <f>141423361.66</f>
        <v>141423361.66</v>
      </c>
      <c r="F35" s="442" t="s">
        <v>521</v>
      </c>
      <c r="G35" s="442" t="s">
        <v>521</v>
      </c>
      <c r="H35" s="442" t="s">
        <v>521</v>
      </c>
      <c r="I35" s="442" t="s">
        <v>521</v>
      </c>
      <c r="J35" s="442" t="s">
        <v>521</v>
      </c>
      <c r="K35" s="440">
        <f t="shared" si="0"/>
        <v>0.5620118529770225</v>
      </c>
      <c r="L35" s="440">
        <f t="shared" si="1"/>
        <v>45.50259994645944</v>
      </c>
      <c r="M35" s="446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</row>
    <row r="36" spans="2:27" ht="13.5" customHeight="1">
      <c r="B36" s="445" t="s">
        <v>523</v>
      </c>
      <c r="C36" s="442">
        <f>79950683</f>
        <v>79950683</v>
      </c>
      <c r="D36" s="458">
        <f>24459013.09</f>
        <v>24459013.09</v>
      </c>
      <c r="E36" s="442">
        <f>24459013.09</f>
        <v>24459013.09</v>
      </c>
      <c r="F36" s="442" t="s">
        <v>521</v>
      </c>
      <c r="G36" s="442" t="s">
        <v>521</v>
      </c>
      <c r="H36" s="442" t="s">
        <v>521</v>
      </c>
      <c r="I36" s="442" t="s">
        <v>521</v>
      </c>
      <c r="J36" s="442" t="s">
        <v>521</v>
      </c>
      <c r="K36" s="440">
        <f t="shared" si="0"/>
        <v>0.09719555753097106</v>
      </c>
      <c r="L36" s="440">
        <f t="shared" si="1"/>
        <v>30.59262556893979</v>
      </c>
      <c r="M36" s="446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</row>
    <row r="37" spans="2:27" ht="33" customHeight="1">
      <c r="B37" s="441" t="s">
        <v>525</v>
      </c>
      <c r="C37" s="442">
        <f>56369239.87</f>
        <v>56369239.87</v>
      </c>
      <c r="D37" s="442">
        <f>27040733.7</f>
        <v>27040733.7</v>
      </c>
      <c r="E37" s="442">
        <f>27040733.7</f>
        <v>27040733.7</v>
      </c>
      <c r="F37" s="442" t="s">
        <v>521</v>
      </c>
      <c r="G37" s="442" t="s">
        <v>521</v>
      </c>
      <c r="H37" s="442" t="s">
        <v>521</v>
      </c>
      <c r="I37" s="442" t="s">
        <v>521</v>
      </c>
      <c r="J37" s="442" t="s">
        <v>521</v>
      </c>
      <c r="K37" s="440">
        <f t="shared" si="0"/>
        <v>0.10745483386214656</v>
      </c>
      <c r="L37" s="440">
        <f t="shared" si="1"/>
        <v>47.970726166189124</v>
      </c>
      <c r="M37" s="446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</row>
    <row r="38" spans="2:27" ht="13.5" customHeight="1">
      <c r="B38" s="445" t="s">
        <v>523</v>
      </c>
      <c r="C38" s="442">
        <f>53291754</f>
        <v>53291754</v>
      </c>
      <c r="D38" s="458">
        <f>25372965.16</f>
        <v>25372965.16</v>
      </c>
      <c r="E38" s="442">
        <f>25372965.16</f>
        <v>25372965.16</v>
      </c>
      <c r="F38" s="442" t="s">
        <v>521</v>
      </c>
      <c r="G38" s="442" t="s">
        <v>521</v>
      </c>
      <c r="H38" s="442" t="s">
        <v>521</v>
      </c>
      <c r="I38" s="442" t="s">
        <v>521</v>
      </c>
      <c r="J38" s="442" t="s">
        <v>521</v>
      </c>
      <c r="K38" s="440">
        <f t="shared" si="0"/>
        <v>0.10082743264683801</v>
      </c>
      <c r="L38" s="440">
        <f t="shared" si="1"/>
        <v>47.61142813952042</v>
      </c>
      <c r="M38" s="446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</row>
    <row r="39" spans="2:27" ht="13.5" customHeight="1">
      <c r="B39" s="444" t="s">
        <v>688</v>
      </c>
      <c r="C39" s="457">
        <f>C40+C42</f>
        <v>301361061.94</v>
      </c>
      <c r="D39" s="457">
        <f>D40+D42</f>
        <v>125231851.25</v>
      </c>
      <c r="E39" s="457">
        <f>E40+E42</f>
        <v>125136997.75</v>
      </c>
      <c r="F39" s="442" t="s">
        <v>521</v>
      </c>
      <c r="G39" s="442" t="s">
        <v>521</v>
      </c>
      <c r="H39" s="442" t="s">
        <v>521</v>
      </c>
      <c r="I39" s="442" t="s">
        <v>521</v>
      </c>
      <c r="J39" s="442" t="s">
        <v>521</v>
      </c>
      <c r="K39" s="439">
        <f t="shared" si="0"/>
        <v>0.4976480268476517</v>
      </c>
      <c r="L39" s="439">
        <f t="shared" si="1"/>
        <v>41.555418753778234</v>
      </c>
      <c r="M39" s="446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</row>
    <row r="40" spans="2:27" ht="33" customHeight="1">
      <c r="B40" s="441" t="s">
        <v>526</v>
      </c>
      <c r="C40" s="442">
        <f>216230125.94</f>
        <v>216230125.94</v>
      </c>
      <c r="D40" s="458">
        <f>93026558.32</f>
        <v>93026558.32</v>
      </c>
      <c r="E40" s="442">
        <f>93031704.82</f>
        <v>93031704.82</v>
      </c>
      <c r="F40" s="442" t="s">
        <v>521</v>
      </c>
      <c r="G40" s="442" t="s">
        <v>521</v>
      </c>
      <c r="H40" s="442" t="s">
        <v>521</v>
      </c>
      <c r="I40" s="442" t="s">
        <v>521</v>
      </c>
      <c r="J40" s="442" t="s">
        <v>521</v>
      </c>
      <c r="K40" s="440">
        <f t="shared" si="0"/>
        <v>0.36967019755987196</v>
      </c>
      <c r="L40" s="440">
        <f t="shared" si="1"/>
        <v>43.02201551037029</v>
      </c>
      <c r="M40" s="446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</row>
    <row r="41" spans="2:27" ht="13.5" customHeight="1">
      <c r="B41" s="445" t="s">
        <v>523</v>
      </c>
      <c r="C41" s="442">
        <f>68476120</f>
        <v>68476120</v>
      </c>
      <c r="D41" s="442">
        <f>14867443.75</f>
        <v>14867443.75</v>
      </c>
      <c r="E41" s="442">
        <f>14867443.75</f>
        <v>14867443.75</v>
      </c>
      <c r="F41" s="442" t="s">
        <v>521</v>
      </c>
      <c r="G41" s="442" t="s">
        <v>521</v>
      </c>
      <c r="H41" s="442" t="s">
        <v>521</v>
      </c>
      <c r="I41" s="442" t="s">
        <v>521</v>
      </c>
      <c r="J41" s="442" t="s">
        <v>521</v>
      </c>
      <c r="K41" s="440">
        <f t="shared" si="0"/>
        <v>0.05908044936336395</v>
      </c>
      <c r="L41" s="440">
        <f t="shared" si="1"/>
        <v>21.711866487178305</v>
      </c>
      <c r="M41" s="446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</row>
    <row r="42" spans="2:27" ht="22.5" customHeight="1">
      <c r="B42" s="441" t="s">
        <v>527</v>
      </c>
      <c r="C42" s="442">
        <f>85130936</f>
        <v>85130936</v>
      </c>
      <c r="D42" s="458">
        <f>32205292.93</f>
        <v>32205292.93</v>
      </c>
      <c r="E42" s="442">
        <f>32105292.93</f>
        <v>32105292.93</v>
      </c>
      <c r="F42" s="442" t="s">
        <v>521</v>
      </c>
      <c r="G42" s="442" t="s">
        <v>521</v>
      </c>
      <c r="H42" s="442" t="s">
        <v>521</v>
      </c>
      <c r="I42" s="442" t="s">
        <v>521</v>
      </c>
      <c r="J42" s="442" t="s">
        <v>521</v>
      </c>
      <c r="K42" s="440">
        <f t="shared" si="0"/>
        <v>0.12797782928777976</v>
      </c>
      <c r="L42" s="440">
        <f t="shared" si="1"/>
        <v>37.830305225353094</v>
      </c>
      <c r="M42" s="446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</row>
    <row r="43" spans="2:27" ht="13.5" customHeight="1">
      <c r="B43" s="445" t="s">
        <v>523</v>
      </c>
      <c r="C43" s="442">
        <f>66331811</f>
        <v>66331811</v>
      </c>
      <c r="D43" s="442">
        <f>23282027.87</f>
        <v>23282027.87</v>
      </c>
      <c r="E43" s="442">
        <f>23182027.87</f>
        <v>23182027.87</v>
      </c>
      <c r="F43" s="442" t="s">
        <v>521</v>
      </c>
      <c r="G43" s="442" t="s">
        <v>521</v>
      </c>
      <c r="H43" s="442" t="s">
        <v>521</v>
      </c>
      <c r="I43" s="442" t="s">
        <v>521</v>
      </c>
      <c r="J43" s="442" t="s">
        <v>521</v>
      </c>
      <c r="K43" s="440">
        <f t="shared" si="0"/>
        <v>0.0925184377206716</v>
      </c>
      <c r="L43" s="440">
        <f t="shared" si="1"/>
        <v>35.099339998420966</v>
      </c>
      <c r="M43" s="446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</row>
    <row r="44" spans="2:13" s="447" customFormat="1" ht="25.5" customHeight="1">
      <c r="B44" s="443" t="s">
        <v>528</v>
      </c>
      <c r="C44" s="457">
        <f>C45+C46+C47+C51</f>
        <v>10160030974</v>
      </c>
      <c r="D44" s="457">
        <f>D45+D46+D47+D51</f>
        <v>6122707965</v>
      </c>
      <c r="E44" s="457">
        <f>E45+E46+E47+E51</f>
        <v>5685338384</v>
      </c>
      <c r="F44" s="442" t="s">
        <v>521</v>
      </c>
      <c r="G44" s="442" t="s">
        <v>521</v>
      </c>
      <c r="H44" s="442" t="s">
        <v>521</v>
      </c>
      <c r="I44" s="442" t="s">
        <v>521</v>
      </c>
      <c r="J44" s="442" t="s">
        <v>521</v>
      </c>
      <c r="K44" s="439">
        <f t="shared" si="0"/>
        <v>24.33049984755097</v>
      </c>
      <c r="L44" s="439">
        <f t="shared" si="1"/>
        <v>60.26268995309462</v>
      </c>
      <c r="M44" s="446"/>
    </row>
    <row r="45" spans="2:27" ht="13.5" customHeight="1">
      <c r="B45" s="441" t="s">
        <v>530</v>
      </c>
      <c r="C45" s="442">
        <f>9308149134</f>
        <v>9308149134</v>
      </c>
      <c r="D45" s="442">
        <f>5735338007</f>
        <v>5735338007</v>
      </c>
      <c r="E45" s="442">
        <f>5297968426</f>
        <v>5297968426</v>
      </c>
      <c r="F45" s="442" t="s">
        <v>521</v>
      </c>
      <c r="G45" s="442" t="s">
        <v>521</v>
      </c>
      <c r="H45" s="442" t="s">
        <v>521</v>
      </c>
      <c r="I45" s="442" t="s">
        <v>521</v>
      </c>
      <c r="J45" s="442" t="s">
        <v>521</v>
      </c>
      <c r="K45" s="440">
        <f t="shared" si="0"/>
        <v>22.79116386126164</v>
      </c>
      <c r="L45" s="440">
        <f t="shared" si="1"/>
        <v>61.61630979944718</v>
      </c>
      <c r="M45" s="446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</row>
    <row r="46" spans="2:13" s="447" customFormat="1" ht="22.5" customHeight="1">
      <c r="B46" s="441" t="s">
        <v>534</v>
      </c>
      <c r="C46" s="442">
        <f>96100000</f>
        <v>96100000</v>
      </c>
      <c r="D46" s="458">
        <f>12259000</f>
        <v>12259000</v>
      </c>
      <c r="E46" s="442">
        <f>12259000</f>
        <v>12259000</v>
      </c>
      <c r="F46" s="442" t="s">
        <v>521</v>
      </c>
      <c r="G46" s="442" t="s">
        <v>521</v>
      </c>
      <c r="H46" s="442" t="s">
        <v>521</v>
      </c>
      <c r="I46" s="442" t="s">
        <v>521</v>
      </c>
      <c r="J46" s="442" t="s">
        <v>521</v>
      </c>
      <c r="K46" s="440">
        <f t="shared" si="0"/>
        <v>0.04871498025647339</v>
      </c>
      <c r="L46" s="440">
        <f t="shared" si="1"/>
        <v>12.756503642039542</v>
      </c>
      <c r="M46" s="446"/>
    </row>
    <row r="47" spans="2:13" s="447" customFormat="1" ht="25.5" customHeight="1">
      <c r="B47" s="443" t="s">
        <v>689</v>
      </c>
      <c r="C47" s="457">
        <f>C48+C49+C50</f>
        <v>246519908</v>
      </c>
      <c r="D47" s="457">
        <f>D48+D49+D50</f>
        <v>120488934</v>
      </c>
      <c r="E47" s="457">
        <f>E48+E49+E50</f>
        <v>120488934</v>
      </c>
      <c r="F47" s="442" t="s">
        <v>521</v>
      </c>
      <c r="G47" s="442" t="s">
        <v>521</v>
      </c>
      <c r="H47" s="442" t="s">
        <v>521</v>
      </c>
      <c r="I47" s="442" t="s">
        <v>521</v>
      </c>
      <c r="J47" s="442" t="s">
        <v>521</v>
      </c>
      <c r="K47" s="439">
        <f t="shared" si="0"/>
        <v>0.47880055803356925</v>
      </c>
      <c r="L47" s="439">
        <f t="shared" si="1"/>
        <v>48.87594473708793</v>
      </c>
      <c r="M47" s="446"/>
    </row>
    <row r="48" spans="2:27" ht="13.5" customHeight="1">
      <c r="B48" s="441" t="s">
        <v>529</v>
      </c>
      <c r="C48" s="442">
        <f>51537631</f>
        <v>51537631</v>
      </c>
      <c r="D48" s="458">
        <f>25768824</f>
        <v>25768824</v>
      </c>
      <c r="E48" s="442">
        <f>25768824</f>
        <v>25768824</v>
      </c>
      <c r="F48" s="442" t="s">
        <v>521</v>
      </c>
      <c r="G48" s="442" t="s">
        <v>521</v>
      </c>
      <c r="H48" s="442" t="s">
        <v>521</v>
      </c>
      <c r="I48" s="442" t="s">
        <v>521</v>
      </c>
      <c r="J48" s="442" t="s">
        <v>521</v>
      </c>
      <c r="K48" s="440">
        <f t="shared" si="0"/>
        <v>0.10240050186740661</v>
      </c>
      <c r="L48" s="440">
        <f t="shared" si="1"/>
        <v>50.00001649280309</v>
      </c>
      <c r="M48" s="446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</row>
    <row r="49" spans="2:27" ht="13.5" customHeight="1">
      <c r="B49" s="441" t="s">
        <v>531</v>
      </c>
      <c r="C49" s="442">
        <f>5541718</f>
        <v>5541718</v>
      </c>
      <c r="D49" s="442">
        <f>0</f>
        <v>0</v>
      </c>
      <c r="E49" s="442">
        <f>0</f>
        <v>0</v>
      </c>
      <c r="F49" s="442" t="s">
        <v>521</v>
      </c>
      <c r="G49" s="442" t="s">
        <v>521</v>
      </c>
      <c r="H49" s="442" t="s">
        <v>521</v>
      </c>
      <c r="I49" s="442" t="s">
        <v>521</v>
      </c>
      <c r="J49" s="442" t="s">
        <v>521</v>
      </c>
      <c r="K49" s="440">
        <f t="shared" si="0"/>
        <v>0</v>
      </c>
      <c r="L49" s="440">
        <f t="shared" si="1"/>
        <v>0</v>
      </c>
      <c r="M49" s="446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</row>
    <row r="50" spans="2:27" ht="13.5" customHeight="1">
      <c r="B50" s="441" t="s">
        <v>532</v>
      </c>
      <c r="C50" s="442">
        <f>189440559</f>
        <v>189440559</v>
      </c>
      <c r="D50" s="458">
        <f>94720110</f>
        <v>94720110</v>
      </c>
      <c r="E50" s="442">
        <f>94720110</f>
        <v>94720110</v>
      </c>
      <c r="F50" s="442" t="s">
        <v>521</v>
      </c>
      <c r="G50" s="442" t="s">
        <v>521</v>
      </c>
      <c r="H50" s="442" t="s">
        <v>521</v>
      </c>
      <c r="I50" s="442" t="s">
        <v>521</v>
      </c>
      <c r="J50" s="442" t="s">
        <v>521</v>
      </c>
      <c r="K50" s="440">
        <f t="shared" si="0"/>
        <v>0.3764000561661626</v>
      </c>
      <c r="L50" s="440">
        <f t="shared" si="1"/>
        <v>49.99991052602415</v>
      </c>
      <c r="M50" s="446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</row>
    <row r="51" spans="2:13" s="447" customFormat="1" ht="25.5" customHeight="1">
      <c r="B51" s="443" t="s">
        <v>690</v>
      </c>
      <c r="C51" s="457">
        <f>C52+C53</f>
        <v>509261932</v>
      </c>
      <c r="D51" s="457">
        <f>D52+D53</f>
        <v>254622024</v>
      </c>
      <c r="E51" s="457">
        <f>E52+E53</f>
        <v>254622024</v>
      </c>
      <c r="F51" s="442" t="s">
        <v>521</v>
      </c>
      <c r="G51" s="442" t="s">
        <v>521</v>
      </c>
      <c r="H51" s="442" t="s">
        <v>521</v>
      </c>
      <c r="I51" s="442" t="s">
        <v>521</v>
      </c>
      <c r="J51" s="442" t="s">
        <v>521</v>
      </c>
      <c r="K51" s="439">
        <f t="shared" si="0"/>
        <v>1.0118204479992898</v>
      </c>
      <c r="L51" s="439">
        <f t="shared" si="1"/>
        <v>49.99824412557898</v>
      </c>
      <c r="M51" s="446"/>
    </row>
    <row r="52" spans="2:27" ht="13.5" customHeight="1">
      <c r="B52" s="441" t="s">
        <v>532</v>
      </c>
      <c r="C52" s="442">
        <f>487236827</f>
        <v>487236827</v>
      </c>
      <c r="D52" s="458">
        <f>243609462</f>
        <v>243609462</v>
      </c>
      <c r="E52" s="442">
        <f>243609462</f>
        <v>243609462</v>
      </c>
      <c r="F52" s="442" t="s">
        <v>521</v>
      </c>
      <c r="G52" s="442" t="s">
        <v>521</v>
      </c>
      <c r="H52" s="442" t="s">
        <v>521</v>
      </c>
      <c r="I52" s="442" t="s">
        <v>521</v>
      </c>
      <c r="J52" s="442" t="s">
        <v>521</v>
      </c>
      <c r="K52" s="440">
        <f t="shared" si="0"/>
        <v>0.9680585799510649</v>
      </c>
      <c r="L52" s="440">
        <f t="shared" si="1"/>
        <v>49.99816280307564</v>
      </c>
      <c r="M52" s="446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</row>
    <row r="53" spans="2:27" ht="13.5" customHeight="1">
      <c r="B53" s="441" t="s">
        <v>529</v>
      </c>
      <c r="C53" s="442">
        <f>22025105</f>
        <v>22025105</v>
      </c>
      <c r="D53" s="442">
        <f>11012562</f>
        <v>11012562</v>
      </c>
      <c r="E53" s="442">
        <f>11012562</f>
        <v>11012562</v>
      </c>
      <c r="F53" s="442" t="s">
        <v>521</v>
      </c>
      <c r="G53" s="442" t="s">
        <v>521</v>
      </c>
      <c r="H53" s="442" t="s">
        <v>521</v>
      </c>
      <c r="I53" s="442" t="s">
        <v>521</v>
      </c>
      <c r="J53" s="442" t="s">
        <v>521</v>
      </c>
      <c r="K53" s="440">
        <f t="shared" si="0"/>
        <v>0.043761868048224906</v>
      </c>
      <c r="L53" s="440">
        <f t="shared" si="1"/>
        <v>50.00004313259801</v>
      </c>
      <c r="M53" s="446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</row>
    <row r="54" spans="1:13" s="447" customFormat="1" ht="13.5" customHeight="1">
      <c r="A54" s="448"/>
      <c r="B54" s="449"/>
      <c r="C54" s="450"/>
      <c r="D54" s="451"/>
      <c r="E54" s="451"/>
      <c r="F54" s="452"/>
      <c r="G54" s="452"/>
      <c r="H54" s="452"/>
      <c r="I54" s="452"/>
      <c r="J54" s="452"/>
      <c r="K54" s="453"/>
      <c r="L54" s="453"/>
      <c r="M54" s="454"/>
    </row>
    <row r="55" spans="2:27" ht="75" customHeight="1">
      <c r="B55" s="793" t="str">
        <f>CONCATENATE("Informacja z wykonania budżetów miast na prawach powiatu za ",$D$110," ",$C$111," roku")</f>
        <v>Informacja z wykonania budżetów miast na prawach powiatu za 2 kwartały 2008 roku</v>
      </c>
      <c r="C55" s="793"/>
      <c r="D55" s="793"/>
      <c r="E55" s="793"/>
      <c r="F55" s="793"/>
      <c r="G55" s="793"/>
      <c r="H55" s="793"/>
      <c r="I55" s="793"/>
      <c r="J55" s="793"/>
      <c r="K55" s="793"/>
      <c r="L55" s="793"/>
      <c r="M55" s="793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</row>
    <row r="56" spans="2:13" s="447" customFormat="1" ht="13.5" customHeight="1">
      <c r="B56" s="455"/>
      <c r="C56" s="450"/>
      <c r="D56" s="451"/>
      <c r="E56" s="451"/>
      <c r="F56" s="456"/>
      <c r="G56" s="456"/>
      <c r="H56" s="456"/>
      <c r="I56" s="456"/>
      <c r="J56" s="456"/>
      <c r="K56" s="453"/>
      <c r="L56" s="453"/>
      <c r="M56" s="454"/>
    </row>
    <row r="57" spans="2:27" ht="29.25" customHeight="1">
      <c r="B57" s="790" t="s">
        <v>500</v>
      </c>
      <c r="C57" s="791" t="s">
        <v>597</v>
      </c>
      <c r="D57" s="791" t="s">
        <v>598</v>
      </c>
      <c r="E57" s="791" t="s">
        <v>599</v>
      </c>
      <c r="F57" s="791" t="s">
        <v>535</v>
      </c>
      <c r="G57" s="791"/>
      <c r="H57" s="791"/>
      <c r="I57" s="791" t="s">
        <v>600</v>
      </c>
      <c r="J57" s="791"/>
      <c r="K57" s="791" t="s">
        <v>501</v>
      </c>
      <c r="L57" s="789" t="s">
        <v>536</v>
      </c>
      <c r="M57" s="447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  <c r="AA57" s="461"/>
    </row>
    <row r="58" spans="2:27" ht="18" customHeight="1">
      <c r="B58" s="790"/>
      <c r="C58" s="791"/>
      <c r="D58" s="797"/>
      <c r="E58" s="791"/>
      <c r="F58" s="807" t="s">
        <v>601</v>
      </c>
      <c r="G58" s="808" t="s">
        <v>537</v>
      </c>
      <c r="H58" s="797"/>
      <c r="I58" s="791"/>
      <c r="J58" s="791"/>
      <c r="K58" s="791"/>
      <c r="L58" s="789"/>
      <c r="M58" s="463"/>
      <c r="N58" s="464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</row>
    <row r="59" spans="2:27" ht="36" customHeight="1">
      <c r="B59" s="790"/>
      <c r="C59" s="791"/>
      <c r="D59" s="797"/>
      <c r="E59" s="791"/>
      <c r="F59" s="797"/>
      <c r="G59" s="459" t="s">
        <v>602</v>
      </c>
      <c r="H59" s="459" t="s">
        <v>603</v>
      </c>
      <c r="I59" s="791"/>
      <c r="J59" s="791"/>
      <c r="K59" s="791"/>
      <c r="L59" s="789"/>
      <c r="M59" s="463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</row>
    <row r="60" spans="2:27" ht="13.5" customHeight="1">
      <c r="B60" s="790"/>
      <c r="C60" s="792"/>
      <c r="D60" s="792"/>
      <c r="E60" s="792"/>
      <c r="F60" s="792"/>
      <c r="G60" s="792"/>
      <c r="H60" s="792"/>
      <c r="I60" s="792"/>
      <c r="J60" s="792"/>
      <c r="K60" s="792" t="s">
        <v>12</v>
      </c>
      <c r="L60" s="792"/>
      <c r="M60" s="447"/>
      <c r="N60" s="447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</row>
    <row r="61" spans="2:27" ht="11.25" customHeight="1">
      <c r="B61" s="465">
        <v>1</v>
      </c>
      <c r="C61" s="462">
        <v>2</v>
      </c>
      <c r="D61" s="462">
        <v>3</v>
      </c>
      <c r="E61" s="462">
        <v>4</v>
      </c>
      <c r="F61" s="465">
        <v>5</v>
      </c>
      <c r="G61" s="465">
        <v>6</v>
      </c>
      <c r="H61" s="462">
        <v>7</v>
      </c>
      <c r="I61" s="797">
        <v>8</v>
      </c>
      <c r="J61" s="797"/>
      <c r="K61" s="465">
        <v>9</v>
      </c>
      <c r="L61" s="462">
        <v>10</v>
      </c>
      <c r="M61" s="447"/>
      <c r="N61" s="461"/>
      <c r="O61" s="461"/>
      <c r="P61" s="461"/>
      <c r="Q61" s="461"/>
      <c r="R61" s="461"/>
      <c r="S61" s="461"/>
      <c r="T61" s="461"/>
      <c r="U61" s="461"/>
      <c r="V61" s="461"/>
      <c r="W61" s="461"/>
      <c r="X61" s="461"/>
      <c r="Y61" s="461"/>
      <c r="Z61" s="461"/>
      <c r="AA61" s="461"/>
    </row>
    <row r="62" spans="2:27" ht="25.5" customHeight="1">
      <c r="B62" s="443" t="s">
        <v>538</v>
      </c>
      <c r="C62" s="466">
        <f>55553768697.15</f>
        <v>55553768697.15</v>
      </c>
      <c r="D62" s="466">
        <f>39033242045.781</f>
        <v>39033242045.781</v>
      </c>
      <c r="E62" s="466">
        <f>21767316825.31</f>
        <v>21767316825.31</v>
      </c>
      <c r="F62" s="466">
        <f>1140297759.12</f>
        <v>1140297759.12</v>
      </c>
      <c r="G62" s="466">
        <f>308523.39</f>
        <v>308523.39</v>
      </c>
      <c r="H62" s="466">
        <f>7829996.33</f>
        <v>7829996.33</v>
      </c>
      <c r="I62" s="802">
        <f>0</f>
        <v>0</v>
      </c>
      <c r="J62" s="802"/>
      <c r="K62" s="467">
        <f aca="true" t="shared" si="4" ref="K62:K72">IF($E$62=0,"",100*$E62/$E$62)</f>
        <v>100</v>
      </c>
      <c r="L62" s="467">
        <f aca="true" t="shared" si="5" ref="L62:L72">IF(C62=0,"",100*E62/C62)</f>
        <v>39.1824305277541</v>
      </c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</row>
    <row r="63" spans="2:27" ht="24" customHeight="1">
      <c r="B63" s="443" t="s">
        <v>539</v>
      </c>
      <c r="C63" s="468">
        <f>15507559032.27</f>
        <v>15507559032.27</v>
      </c>
      <c r="D63" s="468">
        <f>7725224808.59</f>
        <v>7725224808.59</v>
      </c>
      <c r="E63" s="468">
        <f>3262453838.48</f>
        <v>3262453838.48</v>
      </c>
      <c r="F63" s="468">
        <f>330046098.96</f>
        <v>330046098.96</v>
      </c>
      <c r="G63" s="468">
        <f>263745.78</f>
        <v>263745.78</v>
      </c>
      <c r="H63" s="468">
        <f>6212858.53</f>
        <v>6212858.53</v>
      </c>
      <c r="I63" s="809">
        <f>0</f>
        <v>0</v>
      </c>
      <c r="J63" s="809"/>
      <c r="K63" s="467">
        <f t="shared" si="4"/>
        <v>14.98785479470108</v>
      </c>
      <c r="L63" s="467">
        <f t="shared" si="5"/>
        <v>21.037829562286962</v>
      </c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</row>
    <row r="64" spans="2:27" ht="22.5" customHeight="1">
      <c r="B64" s="441" t="s">
        <v>540</v>
      </c>
      <c r="C64" s="442">
        <f>15072096360.27</f>
        <v>15072096360.27</v>
      </c>
      <c r="D64" s="442">
        <f>7527757741.82</f>
        <v>7527757741.82</v>
      </c>
      <c r="E64" s="442">
        <f>3086447636.83</f>
        <v>3086447636.83</v>
      </c>
      <c r="F64" s="442">
        <f>329342350.96</f>
        <v>329342350.96</v>
      </c>
      <c r="G64" s="442">
        <f>263745.78</f>
        <v>263745.78</v>
      </c>
      <c r="H64" s="442">
        <f>6212858.53</f>
        <v>6212858.53</v>
      </c>
      <c r="I64" s="810">
        <f>0</f>
        <v>0</v>
      </c>
      <c r="J64" s="810"/>
      <c r="K64" s="469">
        <f t="shared" si="4"/>
        <v>14.179274651073326</v>
      </c>
      <c r="L64" s="469">
        <f t="shared" si="5"/>
        <v>20.477892146217076</v>
      </c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</row>
    <row r="65" spans="2:27" ht="25.5" customHeight="1">
      <c r="B65" s="443" t="s">
        <v>541</v>
      </c>
      <c r="C65" s="468">
        <f aca="true" t="shared" si="6" ref="C65:I65">C62-C63</f>
        <v>40046209664.880005</v>
      </c>
      <c r="D65" s="468">
        <f t="shared" si="6"/>
        <v>31308017237.190998</v>
      </c>
      <c r="E65" s="468">
        <f t="shared" si="6"/>
        <v>18504862986.83</v>
      </c>
      <c r="F65" s="468">
        <f t="shared" si="6"/>
        <v>810251660.1599998</v>
      </c>
      <c r="G65" s="468">
        <f t="shared" si="6"/>
        <v>44777.609999999986</v>
      </c>
      <c r="H65" s="468">
        <f t="shared" si="6"/>
        <v>1617137.7999999998</v>
      </c>
      <c r="I65" s="809">
        <f t="shared" si="6"/>
        <v>0</v>
      </c>
      <c r="J65" s="809"/>
      <c r="K65" s="467">
        <f t="shared" si="4"/>
        <v>85.01214520529892</v>
      </c>
      <c r="L65" s="467">
        <f t="shared" si="5"/>
        <v>46.20877516670079</v>
      </c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</row>
    <row r="66" spans="2:27" ht="13.5" customHeight="1">
      <c r="B66" s="441" t="s">
        <v>542</v>
      </c>
      <c r="C66" s="442">
        <f>13650169197.23</f>
        <v>13650169197.23</v>
      </c>
      <c r="D66" s="442">
        <f>12195825628.32</f>
        <v>12195825628.32</v>
      </c>
      <c r="E66" s="442">
        <f>6925267118.55</f>
        <v>6925267118.55</v>
      </c>
      <c r="F66" s="442">
        <f>266312967.93</f>
        <v>266312967.93</v>
      </c>
      <c r="G66" s="442">
        <f>2077.54</f>
        <v>2077.54</v>
      </c>
      <c r="H66" s="442">
        <f>154738.74</f>
        <v>154738.74</v>
      </c>
      <c r="I66" s="810">
        <f>0</f>
        <v>0</v>
      </c>
      <c r="J66" s="810"/>
      <c r="K66" s="469">
        <f t="shared" si="4"/>
        <v>31.81497827282795</v>
      </c>
      <c r="L66" s="469">
        <f t="shared" si="5"/>
        <v>50.73392877763984</v>
      </c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</row>
    <row r="67" spans="2:27" ht="22.5" customHeight="1">
      <c r="B67" s="445" t="s">
        <v>543</v>
      </c>
      <c r="C67" s="470">
        <f>12510013744.81</f>
        <v>12510013744.81</v>
      </c>
      <c r="D67" s="470">
        <f>11184229332.47</f>
        <v>11184229332.47</v>
      </c>
      <c r="E67" s="470">
        <f>5972563868.85</f>
        <v>5972563868.85</v>
      </c>
      <c r="F67" s="470">
        <f>260518178.34</f>
        <v>260518178.34</v>
      </c>
      <c r="G67" s="470">
        <f>1530.51</f>
        <v>1530.51</v>
      </c>
      <c r="H67" s="470">
        <f>147792.53</f>
        <v>147792.53</v>
      </c>
      <c r="I67" s="811">
        <f>0</f>
        <v>0</v>
      </c>
      <c r="J67" s="811"/>
      <c r="K67" s="469">
        <f t="shared" si="4"/>
        <v>27.438218117473195</v>
      </c>
      <c r="L67" s="469">
        <f t="shared" si="5"/>
        <v>47.74226464241755</v>
      </c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</row>
    <row r="68" spans="2:27" ht="13.5" customHeight="1">
      <c r="B68" s="441" t="s">
        <v>544</v>
      </c>
      <c r="C68" s="442">
        <f>2525478508.97</f>
        <v>2525478508.97</v>
      </c>
      <c r="D68" s="442">
        <f>2218718144.991</f>
        <v>2218718144.991</v>
      </c>
      <c r="E68" s="442">
        <f>1174013044.12</f>
        <v>1174013044.12</v>
      </c>
      <c r="F68" s="442">
        <f>149402670.79</f>
        <v>149402670.79</v>
      </c>
      <c r="G68" s="442">
        <f>4331.1</f>
        <v>4331.1</v>
      </c>
      <c r="H68" s="442">
        <f>0</f>
        <v>0</v>
      </c>
      <c r="I68" s="810">
        <f>0</f>
        <v>0</v>
      </c>
      <c r="J68" s="810"/>
      <c r="K68" s="469">
        <f t="shared" si="4"/>
        <v>5.39346697409629</v>
      </c>
      <c r="L68" s="469">
        <f t="shared" si="5"/>
        <v>46.48675646813615</v>
      </c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</row>
    <row r="69" spans="2:27" ht="13.5" customHeight="1">
      <c r="B69" s="441" t="s">
        <v>545</v>
      </c>
      <c r="C69" s="470">
        <f>4411950850.97</f>
        <v>4411950850.97</v>
      </c>
      <c r="D69" s="470">
        <f>3427865306.99</f>
        <v>3427865306.99</v>
      </c>
      <c r="E69" s="470">
        <f>2241158689.14</f>
        <v>2241158689.14</v>
      </c>
      <c r="F69" s="470">
        <f>2481442.57</f>
        <v>2481442.57</v>
      </c>
      <c r="G69" s="470">
        <f>0</f>
        <v>0</v>
      </c>
      <c r="H69" s="470">
        <f>0</f>
        <v>0</v>
      </c>
      <c r="I69" s="811">
        <f>0</f>
        <v>0</v>
      </c>
      <c r="J69" s="811"/>
      <c r="K69" s="469">
        <f t="shared" si="4"/>
        <v>10.295980469830289</v>
      </c>
      <c r="L69" s="469">
        <f t="shared" si="5"/>
        <v>50.79745366264142</v>
      </c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</row>
    <row r="70" spans="2:27" ht="13.5" customHeight="1">
      <c r="B70" s="441" t="s">
        <v>546</v>
      </c>
      <c r="C70" s="442">
        <f>688124928</f>
        <v>688124928</v>
      </c>
      <c r="D70" s="442">
        <f>362782370.29</f>
        <v>362782370.29</v>
      </c>
      <c r="E70" s="442">
        <f>267391725.9</f>
        <v>267391725.9</v>
      </c>
      <c r="F70" s="442">
        <f>15839466.15</f>
        <v>15839466.15</v>
      </c>
      <c r="G70" s="442">
        <f>0</f>
        <v>0</v>
      </c>
      <c r="H70" s="442">
        <f>0</f>
        <v>0</v>
      </c>
      <c r="I70" s="810">
        <f>0</f>
        <v>0</v>
      </c>
      <c r="J70" s="810"/>
      <c r="K70" s="469">
        <f t="shared" si="4"/>
        <v>1.228409215733423</v>
      </c>
      <c r="L70" s="469">
        <f t="shared" si="5"/>
        <v>38.858020545362365</v>
      </c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</row>
    <row r="71" spans="2:27" ht="22.5" customHeight="1">
      <c r="B71" s="441" t="s">
        <v>547</v>
      </c>
      <c r="C71" s="470">
        <f>132737872</f>
        <v>132737872</v>
      </c>
      <c r="D71" s="470">
        <f>20250907.32</f>
        <v>20250907.32</v>
      </c>
      <c r="E71" s="470">
        <f>3551935.86</f>
        <v>3551935.86</v>
      </c>
      <c r="F71" s="470">
        <f>444665.89</f>
        <v>444665.89</v>
      </c>
      <c r="G71" s="470">
        <f>0</f>
        <v>0</v>
      </c>
      <c r="H71" s="470">
        <f>0</f>
        <v>0</v>
      </c>
      <c r="I71" s="811">
        <f>0</f>
        <v>0</v>
      </c>
      <c r="J71" s="811"/>
      <c r="K71" s="469">
        <f t="shared" si="4"/>
        <v>0.01631774778906134</v>
      </c>
      <c r="L71" s="469">
        <f t="shared" si="5"/>
        <v>2.6759023679391216</v>
      </c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</row>
    <row r="72" spans="2:27" ht="13.5" customHeight="1">
      <c r="B72" s="441" t="s">
        <v>548</v>
      </c>
      <c r="C72" s="442">
        <f aca="true" t="shared" si="7" ref="C72:I72">C65-C66-C68-C69-C70-C71</f>
        <v>18637748307.710003</v>
      </c>
      <c r="D72" s="442">
        <f t="shared" si="7"/>
        <v>13082574879.279997</v>
      </c>
      <c r="E72" s="442">
        <f t="shared" si="7"/>
        <v>7893480473.260005</v>
      </c>
      <c r="F72" s="442">
        <f t="shared" si="7"/>
        <v>375770446.82999986</v>
      </c>
      <c r="G72" s="442">
        <f t="shared" si="7"/>
        <v>38368.96999999999</v>
      </c>
      <c r="H72" s="442">
        <f t="shared" si="7"/>
        <v>1462399.0599999998</v>
      </c>
      <c r="I72" s="810">
        <f t="shared" si="7"/>
        <v>0</v>
      </c>
      <c r="J72" s="810">
        <f>J65-J66-J68-J69-J70</f>
        <v>0</v>
      </c>
      <c r="K72" s="469">
        <f t="shared" si="4"/>
        <v>36.26299252502192</v>
      </c>
      <c r="L72" s="469">
        <f t="shared" si="5"/>
        <v>42.35211433773175</v>
      </c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</row>
    <row r="73" spans="2:27" ht="24" customHeight="1">
      <c r="B73" s="443" t="s">
        <v>549</v>
      </c>
      <c r="C73" s="468">
        <f>C6-C62</f>
        <v>-7406038518.810005</v>
      </c>
      <c r="D73" s="468"/>
      <c r="E73" s="468">
        <f>D6-E62</f>
        <v>3397427028.549999</v>
      </c>
      <c r="F73" s="468"/>
      <c r="G73" s="468"/>
      <c r="H73" s="468"/>
      <c r="I73" s="809"/>
      <c r="J73" s="809"/>
      <c r="K73" s="471"/>
      <c r="L73" s="471"/>
      <c r="M73" s="472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</row>
    <row r="74" spans="2:27" ht="12" customHeight="1">
      <c r="B74" s="473"/>
      <c r="C74" s="474"/>
      <c r="D74" s="474"/>
      <c r="E74" s="474"/>
      <c r="F74" s="454"/>
      <c r="G74" s="454"/>
      <c r="H74" s="454"/>
      <c r="I74" s="454"/>
      <c r="J74" s="447"/>
      <c r="K74" s="447"/>
      <c r="L74" s="461"/>
      <c r="M74" s="461"/>
      <c r="N74" s="447"/>
      <c r="O74" s="447"/>
      <c r="P74" s="447"/>
      <c r="Q74" s="447"/>
      <c r="R74" s="447"/>
      <c r="S74" s="447"/>
      <c r="T74" s="447"/>
      <c r="U74" s="447"/>
      <c r="V74" s="447"/>
      <c r="W74" s="447"/>
      <c r="X74" s="447"/>
      <c r="Y74" s="447"/>
      <c r="Z74" s="447"/>
      <c r="AA74" s="447"/>
    </row>
    <row r="75" spans="2:27" ht="12" customHeight="1">
      <c r="B75" s="473"/>
      <c r="C75" s="474"/>
      <c r="D75" s="474"/>
      <c r="E75" s="474"/>
      <c r="F75" s="454"/>
      <c r="G75" s="454"/>
      <c r="H75" s="454"/>
      <c r="I75" s="454"/>
      <c r="J75" s="447"/>
      <c r="K75" s="447"/>
      <c r="L75" s="461"/>
      <c r="M75" s="461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447"/>
      <c r="Z75" s="447"/>
      <c r="AA75" s="447"/>
    </row>
    <row r="76" spans="2:27" ht="12" customHeight="1">
      <c r="B76" s="473"/>
      <c r="C76" s="474"/>
      <c r="D76" s="474"/>
      <c r="E76" s="474"/>
      <c r="F76" s="454"/>
      <c r="G76" s="454"/>
      <c r="H76" s="454"/>
      <c r="I76" s="454"/>
      <c r="J76" s="447"/>
      <c r="K76" s="447"/>
      <c r="L76" s="461"/>
      <c r="M76" s="461"/>
      <c r="N76" s="447"/>
      <c r="O76" s="447"/>
      <c r="P76" s="447"/>
      <c r="Q76" s="447"/>
      <c r="R76" s="447"/>
      <c r="S76" s="447"/>
      <c r="T76" s="447"/>
      <c r="U76" s="447"/>
      <c r="V76" s="447"/>
      <c r="W76" s="447"/>
      <c r="X76" s="447"/>
      <c r="Y76" s="447"/>
      <c r="Z76" s="447"/>
      <c r="AA76" s="447"/>
    </row>
    <row r="77" spans="2:27" ht="12" customHeight="1">
      <c r="B77" s="473"/>
      <c r="C77" s="474"/>
      <c r="D77" s="474"/>
      <c r="E77" s="474"/>
      <c r="F77" s="454"/>
      <c r="G77" s="454"/>
      <c r="H77" s="454"/>
      <c r="I77" s="454"/>
      <c r="J77" s="447"/>
      <c r="K77" s="447"/>
      <c r="L77" s="461"/>
      <c r="M77" s="461"/>
      <c r="N77" s="447"/>
      <c r="O77" s="447"/>
      <c r="P77" s="447"/>
      <c r="Q77" s="447"/>
      <c r="R77" s="447"/>
      <c r="S77" s="447"/>
      <c r="T77" s="447"/>
      <c r="U77" s="447"/>
      <c r="V77" s="447"/>
      <c r="W77" s="447"/>
      <c r="X77" s="447"/>
      <c r="Y77" s="447"/>
      <c r="Z77" s="447"/>
      <c r="AA77" s="447"/>
    </row>
    <row r="78" spans="2:27" ht="12.75">
      <c r="B78" s="447"/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</row>
    <row r="79" spans="2:27" ht="12.75">
      <c r="B79" s="447"/>
      <c r="C79" s="447"/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7"/>
      <c r="Y79" s="447"/>
      <c r="Z79" s="447"/>
      <c r="AA79" s="447"/>
    </row>
    <row r="80" spans="2:27" ht="75" customHeight="1">
      <c r="B80" s="793" t="str">
        <f>CONCATENATE("Informacja z wykonania budżetów miast na prawach powiatu za ",$D$110," ",$C$111," roku")</f>
        <v>Informacja z wykonania budżetów miast na prawach powiatu za 2 kwartały 2008 roku</v>
      </c>
      <c r="C80" s="793"/>
      <c r="D80" s="793"/>
      <c r="E80" s="793"/>
      <c r="F80" s="793"/>
      <c r="G80" s="793"/>
      <c r="H80" s="793"/>
      <c r="I80" s="793"/>
      <c r="J80" s="793"/>
      <c r="K80" s="793"/>
      <c r="L80" s="793"/>
      <c r="M80" s="793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7"/>
      <c r="Y80" s="447"/>
      <c r="Z80" s="447"/>
      <c r="AA80" s="447"/>
    </row>
    <row r="81" spans="2:27" ht="12.75">
      <c r="B81" s="447"/>
      <c r="C81" s="447"/>
      <c r="D81" s="447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  <c r="W81" s="447"/>
      <c r="X81" s="447"/>
      <c r="Y81" s="447"/>
      <c r="Z81" s="447"/>
      <c r="AA81" s="447"/>
    </row>
    <row r="82" spans="2:27" ht="18" customHeight="1">
      <c r="B82" s="796" t="s">
        <v>460</v>
      </c>
      <c r="C82" s="796"/>
      <c r="D82" s="797" t="s">
        <v>550</v>
      </c>
      <c r="E82" s="797"/>
      <c r="F82" s="797" t="s">
        <v>551</v>
      </c>
      <c r="G82" s="797"/>
      <c r="H82" s="462" t="s">
        <v>552</v>
      </c>
      <c r="I82" s="462" t="s">
        <v>553</v>
      </c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7"/>
      <c r="X82" s="447"/>
      <c r="Y82" s="447"/>
      <c r="Z82" s="447"/>
      <c r="AA82" s="447"/>
    </row>
    <row r="83" spans="2:27" ht="13.5" customHeight="1">
      <c r="B83" s="796"/>
      <c r="C83" s="796"/>
      <c r="D83" s="791"/>
      <c r="E83" s="791"/>
      <c r="F83" s="791"/>
      <c r="G83" s="791"/>
      <c r="H83" s="806" t="s">
        <v>12</v>
      </c>
      <c r="I83" s="806"/>
      <c r="J83" s="475"/>
      <c r="K83" s="447"/>
      <c r="L83" s="447"/>
      <c r="M83" s="447"/>
      <c r="N83" s="447"/>
      <c r="O83" s="447"/>
      <c r="P83" s="447"/>
      <c r="Q83" s="447"/>
      <c r="R83" s="447"/>
      <c r="S83" s="447"/>
      <c r="T83" s="447"/>
      <c r="U83" s="447"/>
      <c r="V83" s="447"/>
      <c r="W83" s="447"/>
      <c r="X83" s="447"/>
      <c r="Y83" s="447"/>
      <c r="Z83" s="447"/>
      <c r="AA83" s="447"/>
    </row>
    <row r="84" spans="2:27" ht="11.25" customHeight="1">
      <c r="B84" s="794">
        <v>1</v>
      </c>
      <c r="C84" s="791"/>
      <c r="D84" s="795">
        <v>2</v>
      </c>
      <c r="E84" s="795"/>
      <c r="F84" s="795">
        <v>3</v>
      </c>
      <c r="G84" s="795"/>
      <c r="H84" s="476">
        <v>4</v>
      </c>
      <c r="I84" s="476">
        <v>5</v>
      </c>
      <c r="J84" s="461"/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</row>
    <row r="85" spans="2:27" ht="25.5" customHeight="1">
      <c r="B85" s="798" t="s">
        <v>554</v>
      </c>
      <c r="C85" s="798"/>
      <c r="D85" s="799">
        <f>7414084103.81</f>
        <v>7414084103.81</v>
      </c>
      <c r="E85" s="800"/>
      <c r="F85" s="799">
        <f>3309112598.97</f>
        <v>3309112598.97</v>
      </c>
      <c r="G85" s="800"/>
      <c r="H85" s="467"/>
      <c r="I85" s="467"/>
      <c r="J85" s="47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</row>
    <row r="86" spans="2:27" ht="25.5" customHeight="1">
      <c r="B86" s="801" t="s">
        <v>555</v>
      </c>
      <c r="C86" s="798"/>
      <c r="D86" s="802">
        <f>9847075535.77</f>
        <v>9847075535.77</v>
      </c>
      <c r="E86" s="802"/>
      <c r="F86" s="802">
        <f>4611081812.31</f>
        <v>4611081812.31</v>
      </c>
      <c r="G86" s="802"/>
      <c r="H86" s="308">
        <f aca="true" t="shared" si="8" ref="H86:H98">IF($F$86=0,"",100*$F86/$F$86)</f>
        <v>100</v>
      </c>
      <c r="I86" s="467">
        <f aca="true" t="shared" si="9" ref="I86:I107">IF(D86=0,"",100*F86/D86)</f>
        <v>46.826916230712484</v>
      </c>
      <c r="J86" s="447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7"/>
      <c r="W86" s="447"/>
      <c r="X86" s="447"/>
      <c r="Y86" s="447"/>
      <c r="Z86" s="447"/>
      <c r="AA86" s="447"/>
    </row>
    <row r="87" spans="2:27" ht="13.5" customHeight="1">
      <c r="B87" s="803" t="s">
        <v>556</v>
      </c>
      <c r="C87" s="803"/>
      <c r="D87" s="804">
        <f>4661752269.64</f>
        <v>4661752269.64</v>
      </c>
      <c r="E87" s="804"/>
      <c r="F87" s="804">
        <f>291385014.4</f>
        <v>291385014.4</v>
      </c>
      <c r="G87" s="804"/>
      <c r="H87" s="469">
        <f t="shared" si="8"/>
        <v>6.319233235508906</v>
      </c>
      <c r="I87" s="469">
        <f t="shared" si="9"/>
        <v>6.25054695200485</v>
      </c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</row>
    <row r="88" spans="2:27" ht="45" customHeight="1">
      <c r="B88" s="805" t="s">
        <v>577</v>
      </c>
      <c r="C88" s="805" t="s">
        <v>558</v>
      </c>
      <c r="D88" s="804">
        <f>688719353.1</f>
        <v>688719353.1</v>
      </c>
      <c r="E88" s="804"/>
      <c r="F88" s="804">
        <f>199159884.78</f>
        <v>199159884.78</v>
      </c>
      <c r="G88" s="804"/>
      <c r="H88" s="469">
        <f t="shared" si="8"/>
        <v>4.319157475113794</v>
      </c>
      <c r="I88" s="469">
        <f t="shared" si="9"/>
        <v>28.917422442619028</v>
      </c>
      <c r="J88" s="447"/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7"/>
      <c r="V88" s="447"/>
      <c r="W88" s="447"/>
      <c r="X88" s="447"/>
      <c r="Y88" s="447"/>
      <c r="Z88" s="447"/>
      <c r="AA88" s="447"/>
    </row>
    <row r="89" spans="2:27" ht="13.5" customHeight="1">
      <c r="B89" s="803" t="s">
        <v>559</v>
      </c>
      <c r="C89" s="803" t="s">
        <v>560</v>
      </c>
      <c r="D89" s="804">
        <f>74567553</f>
        <v>74567553</v>
      </c>
      <c r="E89" s="804"/>
      <c r="F89" s="804">
        <f>7336672.07</f>
        <v>7336672.07</v>
      </c>
      <c r="G89" s="804"/>
      <c r="H89" s="469">
        <f t="shared" si="8"/>
        <v>0.1591095618909561</v>
      </c>
      <c r="I89" s="469">
        <f t="shared" si="9"/>
        <v>9.838960479231496</v>
      </c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</row>
    <row r="90" spans="2:27" ht="13.5" customHeight="1">
      <c r="B90" s="803" t="s">
        <v>561</v>
      </c>
      <c r="C90" s="803" t="s">
        <v>562</v>
      </c>
      <c r="D90" s="804">
        <f>489706998</f>
        <v>489706998</v>
      </c>
      <c r="E90" s="804"/>
      <c r="F90" s="804">
        <f>711509519.64</f>
        <v>711509519.64</v>
      </c>
      <c r="G90" s="804"/>
      <c r="H90" s="469">
        <f t="shared" si="8"/>
        <v>15.43042497620655</v>
      </c>
      <c r="I90" s="469">
        <f t="shared" si="9"/>
        <v>145.29290423576916</v>
      </c>
      <c r="J90" s="447"/>
      <c r="K90" s="447"/>
      <c r="L90" s="447"/>
      <c r="M90" s="447"/>
      <c r="N90" s="447"/>
      <c r="O90" s="447"/>
      <c r="P90" s="447"/>
      <c r="Q90" s="447"/>
      <c r="R90" s="447"/>
      <c r="S90" s="447"/>
      <c r="T90" s="447"/>
      <c r="U90" s="447"/>
      <c r="V90" s="447"/>
      <c r="W90" s="447"/>
      <c r="X90" s="447"/>
      <c r="Y90" s="447"/>
      <c r="Z90" s="447"/>
      <c r="AA90" s="447"/>
    </row>
    <row r="91" spans="2:27" ht="13.5" customHeight="1">
      <c r="B91" s="805" t="s">
        <v>563</v>
      </c>
      <c r="C91" s="805" t="s">
        <v>564</v>
      </c>
      <c r="D91" s="804">
        <f>408795978</f>
        <v>408795978</v>
      </c>
      <c r="E91" s="804"/>
      <c r="F91" s="804">
        <f>11877027.59</f>
        <v>11877027.59</v>
      </c>
      <c r="G91" s="804"/>
      <c r="H91" s="469">
        <f t="shared" si="8"/>
        <v>0.25757572893832476</v>
      </c>
      <c r="I91" s="469">
        <f t="shared" si="9"/>
        <v>2.9053680146530207</v>
      </c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47"/>
      <c r="Z91" s="447"/>
      <c r="AA91" s="447"/>
    </row>
    <row r="92" spans="2:27" ht="13.5" customHeight="1">
      <c r="B92" s="803" t="s">
        <v>565</v>
      </c>
      <c r="C92" s="803" t="s">
        <v>566</v>
      </c>
      <c r="D92" s="804">
        <f>12030000</f>
        <v>12030000</v>
      </c>
      <c r="E92" s="804"/>
      <c r="F92" s="804">
        <f>1235664.42</f>
        <v>1235664.42</v>
      </c>
      <c r="G92" s="804"/>
      <c r="H92" s="469">
        <f t="shared" si="8"/>
        <v>0.02679771191005984</v>
      </c>
      <c r="I92" s="469">
        <f t="shared" si="9"/>
        <v>10.271524688279301</v>
      </c>
      <c r="J92" s="447"/>
      <c r="K92" s="447"/>
      <c r="L92" s="447"/>
      <c r="M92" s="447"/>
      <c r="N92" s="447"/>
      <c r="O92" s="447"/>
      <c r="P92" s="447"/>
      <c r="Q92" s="447"/>
      <c r="R92" s="447"/>
      <c r="S92" s="447"/>
      <c r="T92" s="447"/>
      <c r="U92" s="447"/>
      <c r="V92" s="447"/>
      <c r="W92" s="447"/>
      <c r="X92" s="447"/>
      <c r="Y92" s="447"/>
      <c r="Z92" s="447"/>
      <c r="AA92" s="447"/>
    </row>
    <row r="93" spans="2:27" ht="45" customHeight="1">
      <c r="B93" s="805" t="s">
        <v>577</v>
      </c>
      <c r="C93" s="805" t="s">
        <v>558</v>
      </c>
      <c r="D93" s="804">
        <f>0</f>
        <v>0</v>
      </c>
      <c r="E93" s="804"/>
      <c r="F93" s="804">
        <f>0</f>
        <v>0</v>
      </c>
      <c r="G93" s="804"/>
      <c r="H93" s="469">
        <f t="shared" si="8"/>
        <v>0</v>
      </c>
      <c r="I93" s="469">
        <f t="shared" si="9"/>
      </c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</row>
    <row r="94" spans="2:27" ht="22.5" customHeight="1">
      <c r="B94" s="803" t="s">
        <v>567</v>
      </c>
      <c r="C94" s="803" t="s">
        <v>568</v>
      </c>
      <c r="D94" s="804">
        <f>1791150000</f>
        <v>1791150000</v>
      </c>
      <c r="E94" s="804"/>
      <c r="F94" s="804">
        <f>40900000</f>
        <v>40900000</v>
      </c>
      <c r="G94" s="804"/>
      <c r="H94" s="469">
        <f t="shared" si="8"/>
        <v>0.8869935877262269</v>
      </c>
      <c r="I94" s="469">
        <f t="shared" si="9"/>
        <v>2.2834491806939674</v>
      </c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</row>
    <row r="95" spans="2:27" ht="45" customHeight="1">
      <c r="B95" s="805" t="s">
        <v>577</v>
      </c>
      <c r="C95" s="805" t="s">
        <v>558</v>
      </c>
      <c r="D95" s="804">
        <f>1907510</f>
        <v>1907510</v>
      </c>
      <c r="E95" s="804"/>
      <c r="F95" s="804">
        <f>216414.2</f>
        <v>216414.2</v>
      </c>
      <c r="G95" s="804"/>
      <c r="H95" s="469">
        <f t="shared" si="8"/>
        <v>0.004693349821342329</v>
      </c>
      <c r="I95" s="469">
        <f t="shared" si="9"/>
        <v>11.345376957394718</v>
      </c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</row>
    <row r="96" spans="2:27" ht="13.5" customHeight="1">
      <c r="B96" s="803" t="s">
        <v>569</v>
      </c>
      <c r="C96" s="803" t="s">
        <v>570</v>
      </c>
      <c r="D96" s="804">
        <f>152411350</f>
        <v>152411350</v>
      </c>
      <c r="E96" s="804"/>
      <c r="F96" s="804">
        <f>4068998.19</f>
        <v>4068998.19</v>
      </c>
      <c r="G96" s="804"/>
      <c r="H96" s="469">
        <f t="shared" si="8"/>
        <v>0.08824389493886611</v>
      </c>
      <c r="I96" s="469">
        <f t="shared" si="9"/>
        <v>2.6697474892781936</v>
      </c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  <c r="W96" s="447"/>
      <c r="X96" s="447"/>
      <c r="Y96" s="447"/>
      <c r="Z96" s="447"/>
      <c r="AA96" s="447"/>
    </row>
    <row r="97" spans="2:27" ht="13.5" customHeight="1">
      <c r="B97" s="803" t="s">
        <v>571</v>
      </c>
      <c r="C97" s="803" t="s">
        <v>572</v>
      </c>
      <c r="D97" s="804">
        <f>2665457365.13</f>
        <v>2665457365.13</v>
      </c>
      <c r="E97" s="804"/>
      <c r="F97" s="804">
        <f>3554645943.59</f>
        <v>3554645943.59</v>
      </c>
      <c r="G97" s="804"/>
      <c r="H97" s="469">
        <f t="shared" si="8"/>
        <v>77.08919703181843</v>
      </c>
      <c r="I97" s="469">
        <f t="shared" si="9"/>
        <v>133.35969991839025</v>
      </c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</row>
    <row r="98" spans="2:27" ht="13.5" customHeight="1">
      <c r="B98" s="805" t="s">
        <v>563</v>
      </c>
      <c r="C98" s="805" t="s">
        <v>564</v>
      </c>
      <c r="D98" s="804">
        <f>1742104420.36</f>
        <v>1742104420.36</v>
      </c>
      <c r="E98" s="804"/>
      <c r="F98" s="804">
        <f>148097319.79</f>
        <v>148097319.79</v>
      </c>
      <c r="G98" s="804"/>
      <c r="H98" s="469">
        <f t="shared" si="8"/>
        <v>3.211769511324461</v>
      </c>
      <c r="I98" s="469">
        <f t="shared" si="9"/>
        <v>8.501058722955092</v>
      </c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</row>
    <row r="99" spans="2:27" ht="25.5" customHeight="1">
      <c r="B99" s="801" t="s">
        <v>573</v>
      </c>
      <c r="C99" s="798" t="s">
        <v>574</v>
      </c>
      <c r="D99" s="802">
        <f>2432991431.96</f>
        <v>2432991431.96</v>
      </c>
      <c r="E99" s="802"/>
      <c r="F99" s="802">
        <f>1301969213.34</f>
        <v>1301969213.34</v>
      </c>
      <c r="G99" s="802"/>
      <c r="H99" s="308">
        <f aca="true" t="shared" si="10" ref="H99:H107">IF($F$99=0,"",100*$F99/$F$99)</f>
        <v>100</v>
      </c>
      <c r="I99" s="467">
        <f t="shared" si="9"/>
        <v>53.51310309757824</v>
      </c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</row>
    <row r="100" spans="2:27" ht="13.5" customHeight="1">
      <c r="B100" s="803" t="s">
        <v>575</v>
      </c>
      <c r="C100" s="803" t="s">
        <v>576</v>
      </c>
      <c r="D100" s="804">
        <f>2072073019.96</f>
        <v>2072073019.96</v>
      </c>
      <c r="E100" s="804"/>
      <c r="F100" s="804">
        <f>1127940816.68</f>
        <v>1127940816.68</v>
      </c>
      <c r="G100" s="804"/>
      <c r="H100" s="469">
        <f t="shared" si="10"/>
        <v>86.63344763632644</v>
      </c>
      <c r="I100" s="469">
        <f t="shared" si="9"/>
        <v>54.435379729126254</v>
      </c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</row>
    <row r="101" spans="2:27" ht="45" customHeight="1">
      <c r="B101" s="805" t="s">
        <v>577</v>
      </c>
      <c r="C101" s="805" t="s">
        <v>558</v>
      </c>
      <c r="D101" s="804">
        <f>419637255.05</f>
        <v>419637255.05</v>
      </c>
      <c r="E101" s="804"/>
      <c r="F101" s="804">
        <f>259476829.24</f>
        <v>259476829.24</v>
      </c>
      <c r="G101" s="804"/>
      <c r="H101" s="469">
        <f t="shared" si="10"/>
        <v>19.929567195705992</v>
      </c>
      <c r="I101" s="469">
        <f t="shared" si="9"/>
        <v>61.833601787592286</v>
      </c>
      <c r="J101" s="447"/>
      <c r="K101" s="447"/>
      <c r="L101" s="447"/>
      <c r="M101" s="447"/>
      <c r="N101" s="447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</row>
    <row r="102" spans="2:27" ht="13.5" customHeight="1">
      <c r="B102" s="803" t="s">
        <v>578</v>
      </c>
      <c r="C102" s="803" t="s">
        <v>579</v>
      </c>
      <c r="D102" s="804">
        <f>28418412</f>
        <v>28418412</v>
      </c>
      <c r="E102" s="804"/>
      <c r="F102" s="804">
        <f>22728396.66</f>
        <v>22728396.66</v>
      </c>
      <c r="G102" s="804"/>
      <c r="H102" s="469">
        <f t="shared" si="10"/>
        <v>1.7456938633513328</v>
      </c>
      <c r="I102" s="469">
        <f t="shared" si="9"/>
        <v>79.97771536284293</v>
      </c>
      <c r="J102" s="447"/>
      <c r="K102" s="447"/>
      <c r="L102" s="447"/>
      <c r="M102" s="447"/>
      <c r="N102" s="447"/>
      <c r="O102" s="447"/>
      <c r="P102" s="447"/>
      <c r="Q102" s="447"/>
      <c r="R102" s="447"/>
      <c r="S102" s="447"/>
      <c r="T102" s="447"/>
      <c r="U102" s="447"/>
      <c r="V102" s="447"/>
      <c r="W102" s="447"/>
      <c r="X102" s="447"/>
      <c r="Y102" s="447"/>
      <c r="Z102" s="447"/>
      <c r="AA102" s="447"/>
    </row>
    <row r="103" spans="2:27" ht="13.5" customHeight="1">
      <c r="B103" s="803" t="s">
        <v>580</v>
      </c>
      <c r="C103" s="803" t="s">
        <v>581</v>
      </c>
      <c r="D103" s="804">
        <f>17000000</f>
        <v>17000000</v>
      </c>
      <c r="E103" s="804"/>
      <c r="F103" s="804">
        <f>12000000</f>
        <v>12000000</v>
      </c>
      <c r="G103" s="804"/>
      <c r="H103" s="469">
        <f t="shared" si="10"/>
        <v>0.9216807799330264</v>
      </c>
      <c r="I103" s="469">
        <f t="shared" si="9"/>
        <v>70.58823529411765</v>
      </c>
      <c r="J103" s="447"/>
      <c r="K103" s="447"/>
      <c r="L103" s="447"/>
      <c r="M103" s="447"/>
      <c r="N103" s="447"/>
      <c r="O103" s="447"/>
      <c r="P103" s="447"/>
      <c r="Q103" s="447"/>
      <c r="R103" s="447"/>
      <c r="S103" s="447"/>
      <c r="T103" s="447"/>
      <c r="U103" s="447"/>
      <c r="V103" s="447"/>
      <c r="W103" s="447"/>
      <c r="X103" s="447"/>
      <c r="Y103" s="447"/>
      <c r="Z103" s="447"/>
      <c r="AA103" s="447"/>
    </row>
    <row r="104" spans="2:27" ht="45" customHeight="1">
      <c r="B104" s="805" t="s">
        <v>577</v>
      </c>
      <c r="C104" s="805" t="s">
        <v>558</v>
      </c>
      <c r="D104" s="804">
        <f>0</f>
        <v>0</v>
      </c>
      <c r="E104" s="804"/>
      <c r="F104" s="804">
        <f>0</f>
        <v>0</v>
      </c>
      <c r="G104" s="804"/>
      <c r="H104" s="469">
        <f t="shared" si="10"/>
        <v>0</v>
      </c>
      <c r="I104" s="469">
        <f t="shared" si="9"/>
      </c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</row>
    <row r="105" spans="2:27" ht="13.5" customHeight="1">
      <c r="B105" s="803" t="s">
        <v>582</v>
      </c>
      <c r="C105" s="803" t="s">
        <v>583</v>
      </c>
      <c r="D105" s="804">
        <f>315500000</f>
        <v>315500000</v>
      </c>
      <c r="E105" s="804"/>
      <c r="F105" s="804">
        <f>69300000</f>
        <v>69300000</v>
      </c>
      <c r="G105" s="804"/>
      <c r="H105" s="469">
        <f t="shared" si="10"/>
        <v>5.322706504113228</v>
      </c>
      <c r="I105" s="469">
        <f t="shared" si="9"/>
        <v>21.96513470681458</v>
      </c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</row>
    <row r="106" spans="2:27" ht="45" customHeight="1">
      <c r="B106" s="805" t="s">
        <v>577</v>
      </c>
      <c r="C106" s="805" t="s">
        <v>558</v>
      </c>
      <c r="D106" s="804">
        <f>3000000</f>
        <v>3000000</v>
      </c>
      <c r="E106" s="804"/>
      <c r="F106" s="804">
        <f>3000000</f>
        <v>3000000</v>
      </c>
      <c r="G106" s="804"/>
      <c r="H106" s="469">
        <f t="shared" si="10"/>
        <v>0.2304201949832566</v>
      </c>
      <c r="I106" s="469">
        <f t="shared" si="9"/>
        <v>100</v>
      </c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</row>
    <row r="107" spans="2:27" ht="13.5" customHeight="1">
      <c r="B107" s="803" t="s">
        <v>584</v>
      </c>
      <c r="C107" s="803" t="s">
        <v>585</v>
      </c>
      <c r="D107" s="804">
        <f>0</f>
        <v>0</v>
      </c>
      <c r="E107" s="804"/>
      <c r="F107" s="804">
        <f>70000000</f>
        <v>70000000</v>
      </c>
      <c r="G107" s="804"/>
      <c r="H107" s="469">
        <f t="shared" si="10"/>
        <v>5.376471216275988</v>
      </c>
      <c r="I107" s="469">
        <f t="shared" si="9"/>
      </c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</row>
    <row r="108" spans="2:27" ht="12.75">
      <c r="B108" s="447"/>
      <c r="C108" s="447"/>
      <c r="D108" s="447"/>
      <c r="E108" s="447"/>
      <c r="F108" s="447"/>
      <c r="G108" s="447"/>
      <c r="H108" s="447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</row>
    <row r="109" spans="2:27" ht="12.75">
      <c r="B109" s="447"/>
      <c r="C109" s="447"/>
      <c r="D109" s="447"/>
      <c r="E109" s="447"/>
      <c r="F109" s="447"/>
      <c r="G109" s="447"/>
      <c r="H109" s="447"/>
      <c r="I109" s="447"/>
      <c r="J109" s="447"/>
      <c r="K109" s="447"/>
      <c r="L109" s="447"/>
      <c r="M109" s="447"/>
      <c r="N109" s="447"/>
      <c r="O109" s="447"/>
      <c r="P109" s="447"/>
      <c r="Q109" s="447"/>
      <c r="R109" s="447"/>
      <c r="S109" s="447"/>
      <c r="T109" s="447"/>
      <c r="U109" s="447"/>
      <c r="V109" s="447"/>
      <c r="W109" s="447"/>
      <c r="X109" s="447"/>
      <c r="Y109" s="447"/>
      <c r="Z109" s="447"/>
      <c r="AA109" s="447"/>
    </row>
    <row r="110" spans="2:27" ht="12.75">
      <c r="B110" s="478" t="s">
        <v>586</v>
      </c>
      <c r="C110" s="478">
        <f>2</f>
        <v>2</v>
      </c>
      <c r="D110" s="478" t="s">
        <v>697</v>
      </c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</row>
    <row r="111" spans="2:27" ht="12.75">
      <c r="B111" s="478" t="s">
        <v>587</v>
      </c>
      <c r="C111" s="478">
        <f>2008</f>
        <v>2008</v>
      </c>
      <c r="D111" s="447"/>
      <c r="E111" s="447"/>
      <c r="F111" s="447"/>
      <c r="G111" s="447"/>
      <c r="H111" s="447"/>
      <c r="I111" s="447"/>
      <c r="J111" s="447"/>
      <c r="K111" s="447"/>
      <c r="L111" s="447"/>
      <c r="M111" s="447"/>
      <c r="N111" s="447"/>
      <c r="O111" s="447"/>
      <c r="P111" s="447"/>
      <c r="Q111" s="447"/>
      <c r="R111" s="447"/>
      <c r="S111" s="447"/>
      <c r="T111" s="447"/>
      <c r="U111" s="447"/>
      <c r="V111" s="447"/>
      <c r="W111" s="447"/>
      <c r="X111" s="447"/>
      <c r="Y111" s="447"/>
      <c r="Z111" s="447"/>
      <c r="AA111" s="447"/>
    </row>
    <row r="112" spans="2:27" ht="12.75">
      <c r="B112" s="478" t="s">
        <v>588</v>
      </c>
      <c r="C112" s="479" t="str">
        <f>"Aug 18 2008 12:00AM"</f>
        <v>Aug 18 2008 12:00AM</v>
      </c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47"/>
      <c r="R112" s="447"/>
      <c r="S112" s="447"/>
      <c r="T112" s="447"/>
      <c r="U112" s="447"/>
      <c r="V112" s="447"/>
      <c r="W112" s="447"/>
      <c r="X112" s="447"/>
      <c r="Y112" s="447"/>
      <c r="Z112" s="447"/>
      <c r="AA112" s="447"/>
    </row>
  </sheetData>
  <sheetProtection/>
  <mergeCells count="108">
    <mergeCell ref="I70:J70"/>
    <mergeCell ref="I71:J71"/>
    <mergeCell ref="I72:J72"/>
    <mergeCell ref="I73:J73"/>
    <mergeCell ref="I67:J67"/>
    <mergeCell ref="I66:J66"/>
    <mergeCell ref="I68:J68"/>
    <mergeCell ref="I69:J69"/>
    <mergeCell ref="I62:J62"/>
    <mergeCell ref="I63:J63"/>
    <mergeCell ref="I64:J64"/>
    <mergeCell ref="I65:J65"/>
    <mergeCell ref="I61:J61"/>
    <mergeCell ref="H83:I83"/>
    <mergeCell ref="B1:M1"/>
    <mergeCell ref="B80:M80"/>
    <mergeCell ref="I57:J59"/>
    <mergeCell ref="D57:D59"/>
    <mergeCell ref="E57:E59"/>
    <mergeCell ref="F58:F59"/>
    <mergeCell ref="F57:H57"/>
    <mergeCell ref="G58:H58"/>
    <mergeCell ref="D106:E106"/>
    <mergeCell ref="F106:G106"/>
    <mergeCell ref="B103:C103"/>
    <mergeCell ref="D103:E103"/>
    <mergeCell ref="F103:G103"/>
    <mergeCell ref="B107:C107"/>
    <mergeCell ref="D107:E107"/>
    <mergeCell ref="F107:G107"/>
    <mergeCell ref="B104:C104"/>
    <mergeCell ref="D104:E104"/>
    <mergeCell ref="F104:G104"/>
    <mergeCell ref="B105:C105"/>
    <mergeCell ref="D105:E105"/>
    <mergeCell ref="F105:G105"/>
    <mergeCell ref="B106:C106"/>
    <mergeCell ref="B102:C102"/>
    <mergeCell ref="D102:E102"/>
    <mergeCell ref="F102:G102"/>
    <mergeCell ref="B100:C100"/>
    <mergeCell ref="D100:E100"/>
    <mergeCell ref="F100:G100"/>
    <mergeCell ref="B101:C101"/>
    <mergeCell ref="D101:E101"/>
    <mergeCell ref="F101:G101"/>
    <mergeCell ref="B98:C98"/>
    <mergeCell ref="D98:E98"/>
    <mergeCell ref="F98:G98"/>
    <mergeCell ref="B99:C99"/>
    <mergeCell ref="D99:E99"/>
    <mergeCell ref="F99:G99"/>
    <mergeCell ref="B96:C96"/>
    <mergeCell ref="D96:E96"/>
    <mergeCell ref="F96:G96"/>
    <mergeCell ref="B97:C97"/>
    <mergeCell ref="D97:E97"/>
    <mergeCell ref="F97:G97"/>
    <mergeCell ref="B94:C94"/>
    <mergeCell ref="D94:E94"/>
    <mergeCell ref="F94:G94"/>
    <mergeCell ref="B95:C95"/>
    <mergeCell ref="D95:E95"/>
    <mergeCell ref="F95:G95"/>
    <mergeCell ref="B92:C92"/>
    <mergeCell ref="D92:E92"/>
    <mergeCell ref="F92:G92"/>
    <mergeCell ref="B93:C93"/>
    <mergeCell ref="D93:E93"/>
    <mergeCell ref="F93:G93"/>
    <mergeCell ref="B90:C90"/>
    <mergeCell ref="D90:E90"/>
    <mergeCell ref="F90:G90"/>
    <mergeCell ref="B91:C91"/>
    <mergeCell ref="D91:E91"/>
    <mergeCell ref="F91:G91"/>
    <mergeCell ref="B89:C89"/>
    <mergeCell ref="D89:E89"/>
    <mergeCell ref="F89:G89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4:C84"/>
    <mergeCell ref="D84:E84"/>
    <mergeCell ref="F84:G84"/>
    <mergeCell ref="B82:C83"/>
    <mergeCell ref="D82:E82"/>
    <mergeCell ref="F82:G82"/>
    <mergeCell ref="D83:G83"/>
    <mergeCell ref="L57:L59"/>
    <mergeCell ref="B3:B4"/>
    <mergeCell ref="C57:C59"/>
    <mergeCell ref="B57:B60"/>
    <mergeCell ref="K57:K59"/>
    <mergeCell ref="K60:L60"/>
    <mergeCell ref="K4:M4"/>
    <mergeCell ref="C4:J4"/>
    <mergeCell ref="B55:M55"/>
    <mergeCell ref="C60:J60"/>
  </mergeCells>
  <printOptions/>
  <pageMargins left="0.18" right="0.18" top="0.5511811023622047" bottom="0.3937007874015748" header="0.31496062992125984" footer="0.1968503937007874"/>
  <pageSetup horizontalDpi="600" verticalDpi="600" orientation="landscape" paperSize="9" scale="95" r:id="rId3"/>
  <headerFooter alignWithMargins="0">
    <oddFooter>&amp;L&amp;"Arial CE,Kursywa"&amp;9&amp;D&amp;R&amp;9strona &amp;P z 5</oddFooter>
  </headerFooter>
  <rowBreaks count="3" manualBreakCount="3">
    <brk id="23" max="255" man="1"/>
    <brk id="54" max="255" man="1"/>
    <brk id="98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7"/>
  <dimension ref="A1:Q53"/>
  <sheetViews>
    <sheetView showGridLines="0" zoomScaleSheetLayoutView="100" workbookViewId="0" topLeftCell="A1">
      <selection activeCell="A24" sqref="A24:M24"/>
    </sheetView>
  </sheetViews>
  <sheetFormatPr defaultColWidth="9.140625" defaultRowHeight="13.5" customHeight="1"/>
  <cols>
    <col min="1" max="1" width="22.57421875" style="313" customWidth="1"/>
    <col min="2" max="2" width="12.28125" style="313" customWidth="1"/>
    <col min="3" max="3" width="12.140625" style="313" customWidth="1"/>
    <col min="4" max="6" width="11.421875" style="313" customWidth="1"/>
    <col min="7" max="7" width="12.140625" style="313" customWidth="1"/>
    <col min="8" max="8" width="12.00390625" style="313" customWidth="1"/>
    <col min="9" max="9" width="11.7109375" style="313" customWidth="1"/>
    <col min="10" max="10" width="12.8515625" style="313" customWidth="1"/>
    <col min="11" max="11" width="12.140625" style="313" customWidth="1"/>
    <col min="12" max="12" width="11.421875" style="313" customWidth="1"/>
    <col min="13" max="13" width="11.28125" style="313" customWidth="1"/>
    <col min="14" max="14" width="10.28125" style="313" customWidth="1"/>
    <col min="15" max="15" width="11.140625" style="313" customWidth="1"/>
    <col min="16" max="16" width="11.57421875" style="313" customWidth="1"/>
    <col min="17" max="16384" width="9.140625" style="313" customWidth="1"/>
  </cols>
  <sheetData>
    <row r="1" spans="1:13" s="327" customFormat="1" ht="75" customHeight="1">
      <c r="A1" s="781" t="str">
        <f>CONCATENATE("Informacja z wykonania budżetów miast na prawach powiatu za  ",$C$51," ",$B$52," roku")</f>
        <v>Informacja z wykonania budżetów miast na prawach powiatu za  2 kwartały 2008 roku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</row>
    <row r="2" spans="1:13" s="327" customFormat="1" ht="13.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s="327" customFormat="1" ht="13.5" customHeight="1">
      <c r="A3" s="639" t="s">
        <v>604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</row>
    <row r="4" s="327" customFormat="1" ht="13.5" customHeight="1"/>
    <row r="5" spans="2:17" s="327" customFormat="1" ht="13.5" customHeight="1">
      <c r="B5" s="314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328"/>
      <c r="O5" s="328"/>
      <c r="P5" s="328"/>
      <c r="Q5" s="328"/>
    </row>
    <row r="6" spans="1:17" s="327" customFormat="1" ht="13.5" customHeight="1">
      <c r="A6" s="641" t="s">
        <v>460</v>
      </c>
      <c r="B6" s="640" t="s">
        <v>605</v>
      </c>
      <c r="C6" s="628" t="s">
        <v>606</v>
      </c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30"/>
      <c r="O6" s="628" t="s">
        <v>607</v>
      </c>
      <c r="P6" s="629"/>
      <c r="Q6" s="630"/>
    </row>
    <row r="7" spans="1:17" s="327" customFormat="1" ht="13.5" customHeight="1">
      <c r="A7" s="642"/>
      <c r="B7" s="636"/>
      <c r="C7" s="634" t="s">
        <v>608</v>
      </c>
      <c r="D7" s="634" t="s">
        <v>609</v>
      </c>
      <c r="E7" s="634" t="s">
        <v>610</v>
      </c>
      <c r="F7" s="634" t="s">
        <v>611</v>
      </c>
      <c r="G7" s="634" t="s">
        <v>612</v>
      </c>
      <c r="H7" s="634" t="s">
        <v>613</v>
      </c>
      <c r="I7" s="652" t="s">
        <v>614</v>
      </c>
      <c r="J7" s="634" t="s">
        <v>615</v>
      </c>
      <c r="K7" s="634" t="s">
        <v>616</v>
      </c>
      <c r="L7" s="634" t="s">
        <v>617</v>
      </c>
      <c r="M7" s="634" t="s">
        <v>618</v>
      </c>
      <c r="N7" s="636" t="s">
        <v>619</v>
      </c>
      <c r="O7" s="635" t="s">
        <v>620</v>
      </c>
      <c r="P7" s="635" t="s">
        <v>621</v>
      </c>
      <c r="Q7" s="635" t="s">
        <v>622</v>
      </c>
    </row>
    <row r="8" spans="1:17" s="327" customFormat="1" ht="13.5" customHeight="1">
      <c r="A8" s="642"/>
      <c r="B8" s="636"/>
      <c r="C8" s="635"/>
      <c r="D8" s="635"/>
      <c r="E8" s="635"/>
      <c r="F8" s="635"/>
      <c r="G8" s="635"/>
      <c r="H8" s="635"/>
      <c r="I8" s="652"/>
      <c r="J8" s="635"/>
      <c r="K8" s="635"/>
      <c r="L8" s="635"/>
      <c r="M8" s="635"/>
      <c r="N8" s="636"/>
      <c r="O8" s="635"/>
      <c r="P8" s="635"/>
      <c r="Q8" s="635"/>
    </row>
    <row r="9" spans="1:17" s="327" customFormat="1" ht="13.5" customHeight="1">
      <c r="A9" s="642"/>
      <c r="B9" s="636"/>
      <c r="C9" s="635"/>
      <c r="D9" s="635"/>
      <c r="E9" s="635"/>
      <c r="F9" s="635"/>
      <c r="G9" s="635"/>
      <c r="H9" s="635"/>
      <c r="I9" s="652"/>
      <c r="J9" s="635"/>
      <c r="K9" s="635"/>
      <c r="L9" s="635"/>
      <c r="M9" s="635"/>
      <c r="N9" s="636"/>
      <c r="O9" s="635"/>
      <c r="P9" s="635"/>
      <c r="Q9" s="635"/>
    </row>
    <row r="10" spans="1:17" s="327" customFormat="1" ht="11.25" customHeight="1">
      <c r="A10" s="642"/>
      <c r="B10" s="636"/>
      <c r="C10" s="635"/>
      <c r="D10" s="635"/>
      <c r="E10" s="635"/>
      <c r="F10" s="635"/>
      <c r="G10" s="635"/>
      <c r="H10" s="635"/>
      <c r="I10" s="652"/>
      <c r="J10" s="635"/>
      <c r="K10" s="635"/>
      <c r="L10" s="635"/>
      <c r="M10" s="635"/>
      <c r="N10" s="636"/>
      <c r="O10" s="635"/>
      <c r="P10" s="635"/>
      <c r="Q10" s="635"/>
    </row>
    <row r="11" spans="1:17" s="327" customFormat="1" ht="11.25" customHeight="1">
      <c r="A11" s="643"/>
      <c r="B11" s="634"/>
      <c r="C11" s="635"/>
      <c r="D11" s="635"/>
      <c r="E11" s="635"/>
      <c r="F11" s="635"/>
      <c r="G11" s="635"/>
      <c r="H11" s="635"/>
      <c r="I11" s="653"/>
      <c r="J11" s="635"/>
      <c r="K11" s="635"/>
      <c r="L11" s="635"/>
      <c r="M11" s="635"/>
      <c r="N11" s="634"/>
      <c r="O11" s="635"/>
      <c r="P11" s="635"/>
      <c r="Q11" s="635"/>
    </row>
    <row r="12" spans="1:17" s="327" customFormat="1" ht="13.5" customHeight="1">
      <c r="A12" s="312">
        <v>1</v>
      </c>
      <c r="B12" s="312">
        <v>2</v>
      </c>
      <c r="C12" s="312">
        <v>3</v>
      </c>
      <c r="D12" s="312">
        <v>4</v>
      </c>
      <c r="E12" s="312">
        <v>5</v>
      </c>
      <c r="F12" s="312">
        <v>6</v>
      </c>
      <c r="G12" s="312">
        <v>7</v>
      </c>
      <c r="H12" s="312">
        <v>8</v>
      </c>
      <c r="I12" s="312">
        <v>9</v>
      </c>
      <c r="J12" s="312">
        <v>10</v>
      </c>
      <c r="K12" s="312">
        <v>11</v>
      </c>
      <c r="L12" s="312">
        <v>12</v>
      </c>
      <c r="M12" s="312">
        <v>13</v>
      </c>
      <c r="N12" s="312">
        <v>14</v>
      </c>
      <c r="O12" s="312">
        <v>15</v>
      </c>
      <c r="P12" s="312">
        <v>16</v>
      </c>
      <c r="Q12" s="312">
        <v>17</v>
      </c>
    </row>
    <row r="13" spans="1:17" s="327" customFormat="1" ht="32.25" customHeight="1">
      <c r="A13" s="329" t="s">
        <v>623</v>
      </c>
      <c r="B13" s="492">
        <f>10292756383.22</f>
        <v>10292756383.22</v>
      </c>
      <c r="C13" s="330">
        <f>7684920341.11</f>
        <v>7684920341.11</v>
      </c>
      <c r="D13" s="330">
        <f>734199498.4</f>
        <v>734199498.4</v>
      </c>
      <c r="E13" s="330">
        <f>153157942.14</f>
        <v>153157942.14</v>
      </c>
      <c r="F13" s="330">
        <f>313668111.76</f>
        <v>313668111.76</v>
      </c>
      <c r="G13" s="330">
        <f>266603484.06</f>
        <v>266603484.06</v>
      </c>
      <c r="H13" s="330">
        <f>769960.44</f>
        <v>769960.44</v>
      </c>
      <c r="I13" s="330">
        <f>12230260.9</f>
        <v>12230260.9</v>
      </c>
      <c r="J13" s="330">
        <f>6545948003.93</f>
        <v>6545948003.93</v>
      </c>
      <c r="K13" s="330">
        <f>295355567.53</f>
        <v>295355567.53</v>
      </c>
      <c r="L13" s="330">
        <f>45835710.1</f>
        <v>45835710.1</v>
      </c>
      <c r="M13" s="330">
        <f>46894127.67</f>
        <v>46894127.67</v>
      </c>
      <c r="N13" s="330">
        <f>4457172.58</f>
        <v>4457172.58</v>
      </c>
      <c r="O13" s="330">
        <f>2607836042.11</f>
        <v>2607836042.11</v>
      </c>
      <c r="P13" s="330">
        <f>2522532985.49</f>
        <v>2522532985.49</v>
      </c>
      <c r="Q13" s="330">
        <f>85303056.62</f>
        <v>85303056.62</v>
      </c>
    </row>
    <row r="14" spans="1:17" s="327" customFormat="1" ht="32.25" customHeight="1">
      <c r="A14" s="480" t="s">
        <v>624</v>
      </c>
      <c r="B14" s="330">
        <f>1629250000</f>
        <v>1629250000</v>
      </c>
      <c r="C14" s="330">
        <f>1559250000</f>
        <v>1559250000</v>
      </c>
      <c r="D14" s="330">
        <f>0</f>
        <v>0</v>
      </c>
      <c r="E14" s="330">
        <f>0</f>
        <v>0</v>
      </c>
      <c r="F14" s="330">
        <f>0</f>
        <v>0</v>
      </c>
      <c r="G14" s="330">
        <f>0</f>
        <v>0</v>
      </c>
      <c r="H14" s="330">
        <f>0</f>
        <v>0</v>
      </c>
      <c r="I14" s="330">
        <f>0</f>
        <v>0</v>
      </c>
      <c r="J14" s="330">
        <f>1236929100</f>
        <v>1236929100</v>
      </c>
      <c r="K14" s="330">
        <f>288960200</f>
        <v>288960200</v>
      </c>
      <c r="L14" s="330">
        <f>0</f>
        <v>0</v>
      </c>
      <c r="M14" s="330">
        <f>33360700</f>
        <v>33360700</v>
      </c>
      <c r="N14" s="330">
        <f>0</f>
        <v>0</v>
      </c>
      <c r="O14" s="330">
        <f>70000000</f>
        <v>70000000</v>
      </c>
      <c r="P14" s="330">
        <f>70000000</f>
        <v>70000000</v>
      </c>
      <c r="Q14" s="330">
        <f>0</f>
        <v>0</v>
      </c>
    </row>
    <row r="15" spans="1:17" s="327" customFormat="1" ht="28.5" customHeight="1">
      <c r="A15" s="481" t="s">
        <v>625</v>
      </c>
      <c r="B15" s="330">
        <f>0</f>
        <v>0</v>
      </c>
      <c r="C15" s="330">
        <f>0</f>
        <v>0</v>
      </c>
      <c r="D15" s="330">
        <f>0</f>
        <v>0</v>
      </c>
      <c r="E15" s="330">
        <f>0</f>
        <v>0</v>
      </c>
      <c r="F15" s="330">
        <f>0</f>
        <v>0</v>
      </c>
      <c r="G15" s="330">
        <f>0</f>
        <v>0</v>
      </c>
      <c r="H15" s="330">
        <f>0</f>
        <v>0</v>
      </c>
      <c r="I15" s="330">
        <f>0</f>
        <v>0</v>
      </c>
      <c r="J15" s="330">
        <f>0</f>
        <v>0</v>
      </c>
      <c r="K15" s="330">
        <f>0</f>
        <v>0</v>
      </c>
      <c r="L15" s="330">
        <f>0</f>
        <v>0</v>
      </c>
      <c r="M15" s="330">
        <f>0</f>
        <v>0</v>
      </c>
      <c r="N15" s="330">
        <f>0</f>
        <v>0</v>
      </c>
      <c r="O15" s="330">
        <f>0</f>
        <v>0</v>
      </c>
      <c r="P15" s="330">
        <f>0</f>
        <v>0</v>
      </c>
      <c r="Q15" s="330">
        <f>0</f>
        <v>0</v>
      </c>
    </row>
    <row r="16" spans="1:17" s="327" customFormat="1" ht="26.25" customHeight="1">
      <c r="A16" s="481" t="s">
        <v>626</v>
      </c>
      <c r="B16" s="330">
        <f>1629250000</f>
        <v>1629250000</v>
      </c>
      <c r="C16" s="330">
        <f>1559250000</f>
        <v>1559250000</v>
      </c>
      <c r="D16" s="330">
        <f>0</f>
        <v>0</v>
      </c>
      <c r="E16" s="330">
        <f>0</f>
        <v>0</v>
      </c>
      <c r="F16" s="330">
        <f>0</f>
        <v>0</v>
      </c>
      <c r="G16" s="330">
        <f>0</f>
        <v>0</v>
      </c>
      <c r="H16" s="330">
        <f>0</f>
        <v>0</v>
      </c>
      <c r="I16" s="330">
        <f>0</f>
        <v>0</v>
      </c>
      <c r="J16" s="330">
        <f>1236929100</f>
        <v>1236929100</v>
      </c>
      <c r="K16" s="330">
        <f>288960200</f>
        <v>288960200</v>
      </c>
      <c r="L16" s="330">
        <f>0</f>
        <v>0</v>
      </c>
      <c r="M16" s="330">
        <f>33360700</f>
        <v>33360700</v>
      </c>
      <c r="N16" s="330">
        <f>0</f>
        <v>0</v>
      </c>
      <c r="O16" s="330">
        <f>70000000</f>
        <v>70000000</v>
      </c>
      <c r="P16" s="330">
        <f>70000000</f>
        <v>70000000</v>
      </c>
      <c r="Q16" s="330">
        <f>0</f>
        <v>0</v>
      </c>
    </row>
    <row r="17" spans="1:17" s="327" customFormat="1" ht="31.5" customHeight="1">
      <c r="A17" s="482" t="s">
        <v>627</v>
      </c>
      <c r="B17" s="330">
        <f>8599267226.86</f>
        <v>8599267226.86</v>
      </c>
      <c r="C17" s="330">
        <f>6061431184.75</f>
        <v>6061431184.75</v>
      </c>
      <c r="D17" s="330">
        <f>732307294.81</f>
        <v>732307294.81</v>
      </c>
      <c r="E17" s="330">
        <f>152910293</f>
        <v>152910293</v>
      </c>
      <c r="F17" s="330">
        <f>313665494.76</f>
        <v>313665494.76</v>
      </c>
      <c r="G17" s="330">
        <f>265731507.05</f>
        <v>265731507.05</v>
      </c>
      <c r="H17" s="330">
        <f>0</f>
        <v>0</v>
      </c>
      <c r="I17" s="330">
        <f>12230260.9</f>
        <v>12230260.9</v>
      </c>
      <c r="J17" s="330">
        <f>5309018903.93</f>
        <v>5309018903.93</v>
      </c>
      <c r="K17" s="330">
        <f>6386471.11</f>
        <v>6386471.11</v>
      </c>
      <c r="L17" s="330">
        <f>1488254</f>
        <v>1488254</v>
      </c>
      <c r="M17" s="330">
        <f>0</f>
        <v>0</v>
      </c>
      <c r="N17" s="330">
        <f>0</f>
        <v>0</v>
      </c>
      <c r="O17" s="330">
        <f>2537836042.11</f>
        <v>2537836042.11</v>
      </c>
      <c r="P17" s="330">
        <f>2452532985.49</f>
        <v>2452532985.49</v>
      </c>
      <c r="Q17" s="330">
        <f>85303056.62</f>
        <v>85303056.62</v>
      </c>
    </row>
    <row r="18" spans="1:17" s="327" customFormat="1" ht="28.5" customHeight="1">
      <c r="A18" s="483" t="s">
        <v>628</v>
      </c>
      <c r="B18" s="330">
        <f>101852361.85</f>
        <v>101852361.85</v>
      </c>
      <c r="C18" s="330">
        <f>101852361.85</f>
        <v>101852361.85</v>
      </c>
      <c r="D18" s="330">
        <f>75525795.91</f>
        <v>75525795.91</v>
      </c>
      <c r="E18" s="330">
        <f>74225797.17</f>
        <v>74225797.17</v>
      </c>
      <c r="F18" s="330">
        <f>1299998.74</f>
        <v>1299998.74</v>
      </c>
      <c r="G18" s="330">
        <f>0</f>
        <v>0</v>
      </c>
      <c r="H18" s="330">
        <f>0</f>
        <v>0</v>
      </c>
      <c r="I18" s="330">
        <f>12230260.9</f>
        <v>12230260.9</v>
      </c>
      <c r="J18" s="330">
        <f>14096305.04</f>
        <v>14096305.04</v>
      </c>
      <c r="K18" s="330">
        <f>0</f>
        <v>0</v>
      </c>
      <c r="L18" s="330">
        <f>0</f>
        <v>0</v>
      </c>
      <c r="M18" s="330">
        <f>0</f>
        <v>0</v>
      </c>
      <c r="N18" s="330">
        <f>0</f>
        <v>0</v>
      </c>
      <c r="O18" s="330">
        <f>0</f>
        <v>0</v>
      </c>
      <c r="P18" s="330">
        <f>0</f>
        <v>0</v>
      </c>
      <c r="Q18" s="330">
        <f>0</f>
        <v>0</v>
      </c>
    </row>
    <row r="19" spans="1:17" s="327" customFormat="1" ht="27.75" customHeight="1">
      <c r="A19" s="484" t="s">
        <v>629</v>
      </c>
      <c r="B19" s="330">
        <f>8497414865.01</f>
        <v>8497414865.01</v>
      </c>
      <c r="C19" s="330">
        <f>5959578822.9</f>
        <v>5959578822.9</v>
      </c>
      <c r="D19" s="330">
        <f>656781498.9</f>
        <v>656781498.9</v>
      </c>
      <c r="E19" s="330">
        <f>78684495.83</f>
        <v>78684495.83</v>
      </c>
      <c r="F19" s="330">
        <f>312365496.02</f>
        <v>312365496.02</v>
      </c>
      <c r="G19" s="330">
        <f>265731507.05</f>
        <v>265731507.05</v>
      </c>
      <c r="H19" s="330">
        <f>0</f>
        <v>0</v>
      </c>
      <c r="I19" s="330">
        <f>0</f>
        <v>0</v>
      </c>
      <c r="J19" s="330">
        <f>5294922598.89</f>
        <v>5294922598.89</v>
      </c>
      <c r="K19" s="330">
        <f>6386471.11</f>
        <v>6386471.11</v>
      </c>
      <c r="L19" s="330">
        <f>1488254</f>
        <v>1488254</v>
      </c>
      <c r="M19" s="330">
        <f>0</f>
        <v>0</v>
      </c>
      <c r="N19" s="330">
        <f>0</f>
        <v>0</v>
      </c>
      <c r="O19" s="330">
        <f>2537836042.11</f>
        <v>2537836042.11</v>
      </c>
      <c r="P19" s="330">
        <f>2452532985.49</f>
        <v>2452532985.49</v>
      </c>
      <c r="Q19" s="330">
        <f>85303056.62</f>
        <v>85303056.62</v>
      </c>
    </row>
    <row r="20" spans="1:17" s="327" customFormat="1" ht="26.25" customHeight="1">
      <c r="A20" s="485" t="s">
        <v>630</v>
      </c>
      <c r="B20" s="330">
        <f>3536.75</f>
        <v>3536.75</v>
      </c>
      <c r="C20" s="330">
        <f>3536.75</f>
        <v>3536.75</v>
      </c>
      <c r="D20" s="330">
        <f>0</f>
        <v>0</v>
      </c>
      <c r="E20" s="330">
        <f>0</f>
        <v>0</v>
      </c>
      <c r="F20" s="330">
        <f>0</f>
        <v>0</v>
      </c>
      <c r="G20" s="330">
        <f>0</f>
        <v>0</v>
      </c>
      <c r="H20" s="330">
        <f>0</f>
        <v>0</v>
      </c>
      <c r="I20" s="330">
        <f>0</f>
        <v>0</v>
      </c>
      <c r="J20" s="330">
        <f>0</f>
        <v>0</v>
      </c>
      <c r="K20" s="330">
        <f>0</f>
        <v>0</v>
      </c>
      <c r="L20" s="330">
        <f>0</f>
        <v>0</v>
      </c>
      <c r="M20" s="330">
        <f>3536.75</f>
        <v>3536.75</v>
      </c>
      <c r="N20" s="330">
        <f>0</f>
        <v>0</v>
      </c>
      <c r="O20" s="330">
        <f>0</f>
        <v>0</v>
      </c>
      <c r="P20" s="330">
        <f>0</f>
        <v>0</v>
      </c>
      <c r="Q20" s="330">
        <f>0</f>
        <v>0</v>
      </c>
    </row>
    <row r="21" spans="1:17" s="327" customFormat="1" ht="31.5" customHeight="1">
      <c r="A21" s="480" t="s">
        <v>631</v>
      </c>
      <c r="B21" s="330">
        <f>64235619.61</f>
        <v>64235619.61</v>
      </c>
      <c r="C21" s="330">
        <f>64235619.61</f>
        <v>64235619.61</v>
      </c>
      <c r="D21" s="330">
        <f>1892203.59</f>
        <v>1892203.59</v>
      </c>
      <c r="E21" s="330">
        <f>247649.14</f>
        <v>247649.14</v>
      </c>
      <c r="F21" s="330">
        <f>2617</f>
        <v>2617</v>
      </c>
      <c r="G21" s="330">
        <f>871977.01</f>
        <v>871977.01</v>
      </c>
      <c r="H21" s="330">
        <f>769960.44</f>
        <v>769960.44</v>
      </c>
      <c r="I21" s="330">
        <f>0</f>
        <v>0</v>
      </c>
      <c r="J21" s="330">
        <f>0</f>
        <v>0</v>
      </c>
      <c r="K21" s="330">
        <f>8896.42</f>
        <v>8896.42</v>
      </c>
      <c r="L21" s="330">
        <f>44347456.1</f>
        <v>44347456.1</v>
      </c>
      <c r="M21" s="330">
        <f>13529890.92</f>
        <v>13529890.92</v>
      </c>
      <c r="N21" s="330">
        <f>4457172.58</f>
        <v>4457172.58</v>
      </c>
      <c r="O21" s="330">
        <f>0</f>
        <v>0</v>
      </c>
      <c r="P21" s="330">
        <f>0</f>
        <v>0</v>
      </c>
      <c r="Q21" s="330">
        <f>0</f>
        <v>0</v>
      </c>
    </row>
    <row r="22" spans="1:17" s="327" customFormat="1" ht="26.25" customHeight="1">
      <c r="A22" s="481" t="s">
        <v>632</v>
      </c>
      <c r="B22" s="330">
        <f>56481882.11</f>
        <v>56481882.11</v>
      </c>
      <c r="C22" s="330">
        <f>56481882.11</f>
        <v>56481882.11</v>
      </c>
      <c r="D22" s="330">
        <f>590152.19</f>
        <v>590152.19</v>
      </c>
      <c r="E22" s="330">
        <f>547.5</f>
        <v>547.5</v>
      </c>
      <c r="F22" s="330">
        <f>0</f>
        <v>0</v>
      </c>
      <c r="G22" s="330">
        <f>589604.69</f>
        <v>589604.69</v>
      </c>
      <c r="H22" s="330">
        <f>0</f>
        <v>0</v>
      </c>
      <c r="I22" s="330">
        <f>0</f>
        <v>0</v>
      </c>
      <c r="J22" s="330">
        <f>0</f>
        <v>0</v>
      </c>
      <c r="K22" s="330">
        <f>7521.62</f>
        <v>7521.62</v>
      </c>
      <c r="L22" s="330">
        <f>43406649.52</f>
        <v>43406649.52</v>
      </c>
      <c r="M22" s="330">
        <f>8048917.52</f>
        <v>8048917.52</v>
      </c>
      <c r="N22" s="330">
        <f>4428641.26</f>
        <v>4428641.26</v>
      </c>
      <c r="O22" s="330">
        <f>0</f>
        <v>0</v>
      </c>
      <c r="P22" s="330">
        <f>0</f>
        <v>0</v>
      </c>
      <c r="Q22" s="330">
        <f>0</f>
        <v>0</v>
      </c>
    </row>
    <row r="23" spans="1:17" s="327" customFormat="1" ht="27" customHeight="1" thickBot="1">
      <c r="A23" s="486" t="s">
        <v>633</v>
      </c>
      <c r="B23" s="330">
        <f>7753737.5</f>
        <v>7753737.5</v>
      </c>
      <c r="C23" s="330">
        <f>7753737.5</f>
        <v>7753737.5</v>
      </c>
      <c r="D23" s="330">
        <f>1302051.4</f>
        <v>1302051.4</v>
      </c>
      <c r="E23" s="330">
        <f>247101.64</f>
        <v>247101.64</v>
      </c>
      <c r="F23" s="330">
        <f>2617</f>
        <v>2617</v>
      </c>
      <c r="G23" s="330">
        <f>282372.32</f>
        <v>282372.32</v>
      </c>
      <c r="H23" s="330">
        <f>769960.44</f>
        <v>769960.44</v>
      </c>
      <c r="I23" s="330">
        <f>0</f>
        <v>0</v>
      </c>
      <c r="J23" s="330">
        <f>0</f>
        <v>0</v>
      </c>
      <c r="K23" s="330">
        <f>1374.8</f>
        <v>1374.8</v>
      </c>
      <c r="L23" s="330">
        <f>940806.58</f>
        <v>940806.58</v>
      </c>
      <c r="M23" s="330">
        <f>5480973.4</f>
        <v>5480973.4</v>
      </c>
      <c r="N23" s="330">
        <f>28531.32</f>
        <v>28531.32</v>
      </c>
      <c r="O23" s="330">
        <f>0</f>
        <v>0</v>
      </c>
      <c r="P23" s="330">
        <f>0</f>
        <v>0</v>
      </c>
      <c r="Q23" s="330">
        <f>0</f>
        <v>0</v>
      </c>
    </row>
    <row r="24" spans="1:13" s="327" customFormat="1" ht="75" customHeight="1">
      <c r="A24" s="781" t="str">
        <f>CONCATENATE("Informacja z wykonania budżetów miast na prawach powiatu za  ",$C$51," ",$B$52," roku")</f>
        <v>Informacja z wykonania budżetów miast na prawach powiatu za  2 kwartały 2008 roku</v>
      </c>
      <c r="B24" s="781"/>
      <c r="C24" s="781"/>
      <c r="D24" s="781"/>
      <c r="E24" s="781"/>
      <c r="F24" s="781"/>
      <c r="G24" s="781"/>
      <c r="H24" s="781"/>
      <c r="I24" s="781"/>
      <c r="J24" s="781"/>
      <c r="K24" s="781"/>
      <c r="L24" s="781"/>
      <c r="M24" s="781"/>
    </row>
    <row r="25" spans="1:13" s="327" customFormat="1" ht="13.5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</row>
    <row r="26" spans="2:13" s="327" customFormat="1" ht="13.5" customHeight="1">
      <c r="B26" s="639" t="s">
        <v>662</v>
      </c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</row>
    <row r="27" s="327" customFormat="1" ht="13.5" customHeight="1"/>
    <row r="28" spans="2:12" s="327" customFormat="1" ht="13.5" customHeight="1">
      <c r="B28" s="622" t="s">
        <v>460</v>
      </c>
      <c r="C28" s="623"/>
      <c r="D28" s="623"/>
      <c r="E28" s="624"/>
      <c r="F28" s="703" t="s">
        <v>663</v>
      </c>
      <c r="G28" s="627" t="s">
        <v>664</v>
      </c>
      <c r="H28" s="617"/>
      <c r="I28" s="617"/>
      <c r="J28" s="617"/>
      <c r="K28" s="617"/>
      <c r="L28" s="618"/>
    </row>
    <row r="29" spans="2:12" s="327" customFormat="1" ht="13.5" customHeight="1">
      <c r="B29" s="625"/>
      <c r="C29" s="615"/>
      <c r="D29" s="615"/>
      <c r="E29" s="616"/>
      <c r="F29" s="704"/>
      <c r="G29" s="706" t="s">
        <v>665</v>
      </c>
      <c r="H29" s="650" t="s">
        <v>610</v>
      </c>
      <c r="I29" s="650" t="s">
        <v>611</v>
      </c>
      <c r="J29" s="650" t="s">
        <v>642</v>
      </c>
      <c r="K29" s="650" t="s">
        <v>666</v>
      </c>
      <c r="L29" s="651" t="s">
        <v>667</v>
      </c>
    </row>
    <row r="30" spans="2:12" s="327" customFormat="1" ht="13.5" customHeight="1">
      <c r="B30" s="625"/>
      <c r="C30" s="615"/>
      <c r="D30" s="615"/>
      <c r="E30" s="616"/>
      <c r="F30" s="704"/>
      <c r="G30" s="706"/>
      <c r="H30" s="650"/>
      <c r="I30" s="650"/>
      <c r="J30" s="650"/>
      <c r="K30" s="650"/>
      <c r="L30" s="651"/>
    </row>
    <row r="31" spans="2:12" s="327" customFormat="1" ht="11.25" customHeight="1">
      <c r="B31" s="625"/>
      <c r="C31" s="615"/>
      <c r="D31" s="615"/>
      <c r="E31" s="616"/>
      <c r="F31" s="704"/>
      <c r="G31" s="706"/>
      <c r="H31" s="650"/>
      <c r="I31" s="650"/>
      <c r="J31" s="650"/>
      <c r="K31" s="650"/>
      <c r="L31" s="651"/>
    </row>
    <row r="32" spans="2:12" s="327" customFormat="1" ht="11.25" customHeight="1">
      <c r="B32" s="700"/>
      <c r="C32" s="701"/>
      <c r="D32" s="701"/>
      <c r="E32" s="702"/>
      <c r="F32" s="705"/>
      <c r="G32" s="706"/>
      <c r="H32" s="650"/>
      <c r="I32" s="650"/>
      <c r="J32" s="650"/>
      <c r="K32" s="650"/>
      <c r="L32" s="651"/>
    </row>
    <row r="33" spans="2:12" s="327" customFormat="1" ht="13.5" customHeight="1">
      <c r="B33" s="650">
        <v>1</v>
      </c>
      <c r="C33" s="650"/>
      <c r="D33" s="650"/>
      <c r="E33" s="650"/>
      <c r="F33" s="332">
        <v>2</v>
      </c>
      <c r="G33" s="332">
        <v>3</v>
      </c>
      <c r="H33" s="332">
        <v>4</v>
      </c>
      <c r="I33" s="332">
        <v>5</v>
      </c>
      <c r="J33" s="332">
        <v>6</v>
      </c>
      <c r="K33" s="332">
        <v>7</v>
      </c>
      <c r="L33" s="333">
        <v>8</v>
      </c>
    </row>
    <row r="34" spans="2:12" s="327" customFormat="1" ht="33.75" customHeight="1">
      <c r="B34" s="619" t="s">
        <v>668</v>
      </c>
      <c r="C34" s="620"/>
      <c r="D34" s="620"/>
      <c r="E34" s="621"/>
      <c r="F34" s="330">
        <f>1071988338.71</f>
        <v>1071988338.71</v>
      </c>
      <c r="G34" s="330">
        <f>353491698.35</f>
        <v>353491698.35</v>
      </c>
      <c r="H34" s="330">
        <f>24959518.06</f>
        <v>24959518.06</v>
      </c>
      <c r="I34" s="330">
        <f>40747752.95</f>
        <v>40747752.95</v>
      </c>
      <c r="J34" s="330">
        <f>287784427.34</f>
        <v>287784427.34</v>
      </c>
      <c r="K34" s="330">
        <f>0</f>
        <v>0</v>
      </c>
      <c r="L34" s="330">
        <f>718496640.36</f>
        <v>718496640.36</v>
      </c>
    </row>
    <row r="35" spans="2:12" s="327" customFormat="1" ht="33.75" customHeight="1">
      <c r="B35" s="619" t="s">
        <v>669</v>
      </c>
      <c r="C35" s="620"/>
      <c r="D35" s="620"/>
      <c r="E35" s="621"/>
      <c r="F35" s="330">
        <f>0</f>
        <v>0</v>
      </c>
      <c r="G35" s="330">
        <f>0</f>
        <v>0</v>
      </c>
      <c r="H35" s="330">
        <f>0</f>
        <v>0</v>
      </c>
      <c r="I35" s="330">
        <f>0</f>
        <v>0</v>
      </c>
      <c r="J35" s="330">
        <f>0</f>
        <v>0</v>
      </c>
      <c r="K35" s="330">
        <f>0</f>
        <v>0</v>
      </c>
      <c r="L35" s="330">
        <f>0</f>
        <v>0</v>
      </c>
    </row>
    <row r="36" spans="2:12" s="327" customFormat="1" ht="33.75" customHeight="1">
      <c r="B36" s="619" t="s">
        <v>670</v>
      </c>
      <c r="C36" s="620"/>
      <c r="D36" s="620"/>
      <c r="E36" s="621"/>
      <c r="F36" s="330">
        <f>60388624.35</f>
        <v>60388624.35</v>
      </c>
      <c r="G36" s="330">
        <f>28148424.35</f>
        <v>28148424.35</v>
      </c>
      <c r="H36" s="330">
        <f>0</f>
        <v>0</v>
      </c>
      <c r="I36" s="330">
        <f>26336924.35</f>
        <v>26336924.35</v>
      </c>
      <c r="J36" s="330">
        <f>1811500</f>
        <v>1811500</v>
      </c>
      <c r="K36" s="330">
        <f>0</f>
        <v>0</v>
      </c>
      <c r="L36" s="330">
        <f>32240200</f>
        <v>32240200</v>
      </c>
    </row>
    <row r="37" spans="2:12" s="327" customFormat="1" ht="22.5" customHeight="1">
      <c r="B37" s="619" t="s">
        <v>671</v>
      </c>
      <c r="C37" s="620"/>
      <c r="D37" s="620"/>
      <c r="E37" s="621"/>
      <c r="F37" s="330">
        <f>7661134.88</f>
        <v>7661134.88</v>
      </c>
      <c r="G37" s="330">
        <f>6314060.03</f>
        <v>6314060.03</v>
      </c>
      <c r="H37" s="330">
        <f>0</f>
        <v>0</v>
      </c>
      <c r="I37" s="330">
        <f>0</f>
        <v>0</v>
      </c>
      <c r="J37" s="330">
        <f>6314060.03</f>
        <v>6314060.03</v>
      </c>
      <c r="K37" s="330">
        <f>0</f>
        <v>0</v>
      </c>
      <c r="L37" s="330">
        <f>1347074.85</f>
        <v>1347074.85</v>
      </c>
    </row>
    <row r="38" spans="2:12" s="327" customFormat="1" ht="33.75" customHeight="1">
      <c r="B38" s="619" t="s">
        <v>672</v>
      </c>
      <c r="C38" s="620"/>
      <c r="D38" s="620"/>
      <c r="E38" s="621"/>
      <c r="F38" s="330">
        <f>1181084.18</f>
        <v>1181084.18</v>
      </c>
      <c r="G38" s="330">
        <f>1119584.48</f>
        <v>1119584.48</v>
      </c>
      <c r="H38" s="330">
        <f>0</f>
        <v>0</v>
      </c>
      <c r="I38" s="330">
        <f>0</f>
        <v>0</v>
      </c>
      <c r="J38" s="330">
        <f>1119584.48</f>
        <v>1119584.48</v>
      </c>
      <c r="K38" s="330">
        <f>0</f>
        <v>0</v>
      </c>
      <c r="L38" s="330">
        <f>61499.7</f>
        <v>61499.7</v>
      </c>
    </row>
    <row r="39" spans="2:12" s="327" customFormat="1" ht="33.75" customHeight="1">
      <c r="B39" s="619" t="s">
        <v>673</v>
      </c>
      <c r="C39" s="620"/>
      <c r="D39" s="620"/>
      <c r="E39" s="621"/>
      <c r="F39" s="330">
        <f>3551935.86</f>
        <v>3551935.86</v>
      </c>
      <c r="G39" s="330">
        <f>1926578.19</f>
        <v>1926578.19</v>
      </c>
      <c r="H39" s="330">
        <f>48279.53</f>
        <v>48279.53</v>
      </c>
      <c r="I39" s="330">
        <f>0</f>
        <v>0</v>
      </c>
      <c r="J39" s="330">
        <f>1878298.66</f>
        <v>1878298.66</v>
      </c>
      <c r="K39" s="330">
        <f>0</f>
        <v>0</v>
      </c>
      <c r="L39" s="330">
        <f>1625357.67</f>
        <v>1625357.67</v>
      </c>
    </row>
    <row r="40" spans="2:12" s="327" customFormat="1" ht="22.5" customHeight="1">
      <c r="B40" s="619" t="s">
        <v>674</v>
      </c>
      <c r="C40" s="620"/>
      <c r="D40" s="620"/>
      <c r="E40" s="621"/>
      <c r="F40" s="330">
        <f>9631.2</f>
        <v>9631.2</v>
      </c>
      <c r="G40" s="330">
        <f>0</f>
        <v>0</v>
      </c>
      <c r="H40" s="330">
        <f>0</f>
        <v>0</v>
      </c>
      <c r="I40" s="330">
        <f>0</f>
        <v>0</v>
      </c>
      <c r="J40" s="330">
        <f>0</f>
        <v>0</v>
      </c>
      <c r="K40" s="330">
        <f>0</f>
        <v>0</v>
      </c>
      <c r="L40" s="330">
        <f>9631.2</f>
        <v>9631.2</v>
      </c>
    </row>
    <row r="41" s="327" customFormat="1" ht="13.5" customHeight="1"/>
    <row r="42" s="327" customFormat="1" ht="13.5" customHeight="1"/>
    <row r="43" spans="1:13" s="327" customFormat="1" ht="75" customHeight="1">
      <c r="A43" s="637" t="str">
        <f>CONCATENATE("Informacja z wykonania budżetów miast na prawach powiatu za  ",$C$51," ",$B$52," roku")</f>
        <v>Informacja z wykonania budżetów miast na prawach powiatu za  2 kwartały 2008 roku</v>
      </c>
      <c r="B43" s="637"/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</row>
    <row r="44" s="327" customFormat="1" ht="13.5" customHeight="1">
      <c r="B44" s="323"/>
    </row>
    <row r="45" spans="2:11" s="327" customFormat="1" ht="13.5" customHeight="1">
      <c r="B45" s="324"/>
      <c r="C45" s="627"/>
      <c r="D45" s="617"/>
      <c r="E45" s="617"/>
      <c r="F45" s="618"/>
      <c r="G45" s="627" t="s">
        <v>461</v>
      </c>
      <c r="H45" s="618"/>
      <c r="I45" s="627" t="s">
        <v>675</v>
      </c>
      <c r="J45" s="618"/>
      <c r="K45" s="324"/>
    </row>
    <row r="46" spans="2:11" s="327" customFormat="1" ht="13.5" customHeight="1">
      <c r="B46" s="325"/>
      <c r="C46" s="619" t="s">
        <v>676</v>
      </c>
      <c r="D46" s="620"/>
      <c r="E46" s="620"/>
      <c r="F46" s="621"/>
      <c r="G46" s="631">
        <f>59</f>
        <v>59</v>
      </c>
      <c r="H46" s="632"/>
      <c r="I46" s="633">
        <f>3451690277.83</f>
        <v>3451690277.83</v>
      </c>
      <c r="J46" s="626"/>
      <c r="K46" s="326"/>
    </row>
    <row r="47" spans="2:11" s="327" customFormat="1" ht="13.5" customHeight="1">
      <c r="B47" s="325"/>
      <c r="C47" s="619" t="s">
        <v>677</v>
      </c>
      <c r="D47" s="620"/>
      <c r="E47" s="620"/>
      <c r="F47" s="621"/>
      <c r="G47" s="631">
        <f>6</f>
        <v>6</v>
      </c>
      <c r="H47" s="632"/>
      <c r="I47" s="633">
        <f>-54263249.28</f>
        <v>-54263249.28</v>
      </c>
      <c r="J47" s="626"/>
      <c r="K47" s="326"/>
    </row>
    <row r="48" spans="2:11" s="327" customFormat="1" ht="13.5" customHeight="1">
      <c r="B48" s="325"/>
      <c r="C48" s="619" t="s">
        <v>678</v>
      </c>
      <c r="D48" s="620"/>
      <c r="E48" s="620"/>
      <c r="F48" s="621"/>
      <c r="G48" s="631">
        <f>0</f>
        <v>0</v>
      </c>
      <c r="H48" s="632"/>
      <c r="I48" s="633">
        <f>0</f>
        <v>0</v>
      </c>
      <c r="J48" s="626"/>
      <c r="K48" s="326"/>
    </row>
    <row r="51" spans="1:3" ht="13.5" customHeight="1">
      <c r="A51" s="560" t="s">
        <v>586</v>
      </c>
      <c r="B51" s="560">
        <f>2</f>
        <v>2</v>
      </c>
      <c r="C51" s="560" t="s">
        <v>697</v>
      </c>
    </row>
    <row r="52" spans="1:3" ht="13.5" customHeight="1">
      <c r="A52" s="560" t="s">
        <v>587</v>
      </c>
      <c r="B52" s="560">
        <f>2008</f>
        <v>2008</v>
      </c>
      <c r="C52" s="561"/>
    </row>
    <row r="53" spans="1:3" ht="13.5" customHeight="1">
      <c r="A53" s="560" t="s">
        <v>588</v>
      </c>
      <c r="B53" s="562" t="str">
        <f>"Aug 18 2008 12:00AM"</f>
        <v>Aug 18 2008 12:00AM</v>
      </c>
      <c r="C53" s="561"/>
    </row>
  </sheetData>
  <mergeCells count="54">
    <mergeCell ref="M7:M11"/>
    <mergeCell ref="N7:N11"/>
    <mergeCell ref="P7:P11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B38:E38"/>
    <mergeCell ref="B35:E35"/>
    <mergeCell ref="B34:E34"/>
    <mergeCell ref="F28:F32"/>
    <mergeCell ref="G29:G32"/>
    <mergeCell ref="G28:L28"/>
    <mergeCell ref="H29:H32"/>
    <mergeCell ref="I29:I32"/>
    <mergeCell ref="J29:J32"/>
    <mergeCell ref="L29:L32"/>
    <mergeCell ref="K29:K32"/>
    <mergeCell ref="G48:H48"/>
    <mergeCell ref="I48:J48"/>
    <mergeCell ref="C45:F45"/>
    <mergeCell ref="C46:F46"/>
    <mergeCell ref="C47:F47"/>
    <mergeCell ref="C48:F48"/>
    <mergeCell ref="G46:H46"/>
    <mergeCell ref="G45:H45"/>
    <mergeCell ref="G47:H47"/>
    <mergeCell ref="I47:J47"/>
    <mergeCell ref="B39:E39"/>
    <mergeCell ref="I46:J46"/>
    <mergeCell ref="B26:M26"/>
    <mergeCell ref="I45:J45"/>
    <mergeCell ref="B33:E33"/>
    <mergeCell ref="B28:E32"/>
    <mergeCell ref="B40:E40"/>
    <mergeCell ref="A43:M43"/>
    <mergeCell ref="B36:E36"/>
    <mergeCell ref="B37:E37"/>
    <mergeCell ref="O6:Q6"/>
    <mergeCell ref="O7:O11"/>
    <mergeCell ref="A24:M24"/>
    <mergeCell ref="H7:H11"/>
    <mergeCell ref="G7:G11"/>
    <mergeCell ref="F7:F11"/>
    <mergeCell ref="I7:I11"/>
    <mergeCell ref="J7:J11"/>
    <mergeCell ref="Q7:Q11"/>
    <mergeCell ref="L7:L11"/>
  </mergeCells>
  <printOptions/>
  <pageMargins left="0" right="0" top="0.1968503937007874" bottom="0.1968503937007874" header="0" footer="0"/>
  <pageSetup horizontalDpi="300" verticalDpi="300" orientation="landscape" paperSize="9" scale="70" r:id="rId1"/>
  <headerFooter alignWithMargins="0">
    <oddFooter>&amp;RStr.&amp;P z &amp;N</oddFooter>
  </headerFooter>
  <rowBreaks count="1" manualBreakCount="1">
    <brk id="2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8"/>
  <dimension ref="A1:Q99"/>
  <sheetViews>
    <sheetView showGridLines="0" zoomScaleSheetLayoutView="100" workbookViewId="0" topLeftCell="B1">
      <selection activeCell="A24" sqref="A24:M24"/>
    </sheetView>
  </sheetViews>
  <sheetFormatPr defaultColWidth="9.140625" defaultRowHeight="13.5" customHeight="1"/>
  <cols>
    <col min="1" max="1" width="22.57421875" style="313" customWidth="1"/>
    <col min="2" max="2" width="12.28125" style="313" customWidth="1"/>
    <col min="3" max="3" width="12.140625" style="313" customWidth="1"/>
    <col min="4" max="6" width="11.421875" style="313" customWidth="1"/>
    <col min="7" max="7" width="12.140625" style="313" customWidth="1"/>
    <col min="8" max="8" width="12.00390625" style="313" customWidth="1"/>
    <col min="9" max="9" width="11.7109375" style="313" customWidth="1"/>
    <col min="10" max="10" width="12.8515625" style="313" customWidth="1"/>
    <col min="11" max="11" width="12.140625" style="313" customWidth="1"/>
    <col min="12" max="12" width="11.421875" style="313" customWidth="1"/>
    <col min="13" max="13" width="11.28125" style="313" customWidth="1"/>
    <col min="14" max="14" width="10.28125" style="313" customWidth="1"/>
    <col min="15" max="15" width="11.140625" style="313" customWidth="1"/>
    <col min="16" max="16" width="11.57421875" style="313" customWidth="1"/>
    <col min="17" max="16384" width="9.140625" style="313" customWidth="1"/>
  </cols>
  <sheetData>
    <row r="1" spans="1:17" ht="40.5" customHeight="1">
      <c r="A1" s="637" t="str">
        <f>CONCATENATE("Informacja z wykonania budżetów miast na prawach powiatu za  ",$C$97," ",$B$98," roku")</f>
        <v>Informacja z wykonania budżetów miast na prawach powiatu za  II Kwartały 2008 roku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327"/>
      <c r="O1" s="327"/>
      <c r="P1" s="327"/>
      <c r="Q1" s="327"/>
    </row>
    <row r="2" spans="1:17" ht="13.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327"/>
      <c r="O2" s="327"/>
      <c r="P2" s="327"/>
      <c r="Q2" s="327"/>
    </row>
    <row r="3" spans="1:17" ht="13.5" customHeight="1">
      <c r="A3" s="639" t="s">
        <v>604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327"/>
      <c r="O3" s="327"/>
      <c r="P3" s="327"/>
      <c r="Q3" s="327"/>
    </row>
    <row r="4" spans="1:17" ht="13.5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spans="1:17" ht="13.5" customHeight="1">
      <c r="A5" s="327"/>
      <c r="B5" s="314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328"/>
      <c r="O5" s="328"/>
      <c r="P5" s="328"/>
      <c r="Q5" s="328"/>
    </row>
    <row r="6" spans="1:17" ht="13.5" customHeight="1">
      <c r="A6" s="641" t="s">
        <v>460</v>
      </c>
      <c r="B6" s="640" t="s">
        <v>605</v>
      </c>
      <c r="C6" s="628" t="s">
        <v>606</v>
      </c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30"/>
      <c r="O6" s="628" t="s">
        <v>607</v>
      </c>
      <c r="P6" s="629"/>
      <c r="Q6" s="630"/>
    </row>
    <row r="7" spans="1:17" ht="13.5" customHeight="1">
      <c r="A7" s="642"/>
      <c r="B7" s="636"/>
      <c r="C7" s="634" t="s">
        <v>608</v>
      </c>
      <c r="D7" s="634" t="s">
        <v>609</v>
      </c>
      <c r="E7" s="634" t="s">
        <v>610</v>
      </c>
      <c r="F7" s="634" t="s">
        <v>611</v>
      </c>
      <c r="G7" s="634" t="s">
        <v>612</v>
      </c>
      <c r="H7" s="634" t="s">
        <v>613</v>
      </c>
      <c r="I7" s="652" t="s">
        <v>614</v>
      </c>
      <c r="J7" s="634" t="s">
        <v>615</v>
      </c>
      <c r="K7" s="634" t="s">
        <v>616</v>
      </c>
      <c r="L7" s="634" t="s">
        <v>617</v>
      </c>
      <c r="M7" s="634" t="s">
        <v>618</v>
      </c>
      <c r="N7" s="636" t="s">
        <v>619</v>
      </c>
      <c r="O7" s="635" t="s">
        <v>620</v>
      </c>
      <c r="P7" s="635" t="s">
        <v>621</v>
      </c>
      <c r="Q7" s="635" t="s">
        <v>622</v>
      </c>
    </row>
    <row r="8" spans="1:17" ht="13.5" customHeight="1">
      <c r="A8" s="642"/>
      <c r="B8" s="636"/>
      <c r="C8" s="635"/>
      <c r="D8" s="635"/>
      <c r="E8" s="635"/>
      <c r="F8" s="635"/>
      <c r="G8" s="635"/>
      <c r="H8" s="635"/>
      <c r="I8" s="652"/>
      <c r="J8" s="635"/>
      <c r="K8" s="635"/>
      <c r="L8" s="635"/>
      <c r="M8" s="635"/>
      <c r="N8" s="636"/>
      <c r="O8" s="635"/>
      <c r="P8" s="635"/>
      <c r="Q8" s="635"/>
    </row>
    <row r="9" spans="1:17" ht="13.5" customHeight="1">
      <c r="A9" s="642"/>
      <c r="B9" s="636"/>
      <c r="C9" s="635"/>
      <c r="D9" s="635"/>
      <c r="E9" s="635"/>
      <c r="F9" s="635"/>
      <c r="G9" s="635"/>
      <c r="H9" s="635"/>
      <c r="I9" s="652"/>
      <c r="J9" s="635"/>
      <c r="K9" s="635"/>
      <c r="L9" s="635"/>
      <c r="M9" s="635"/>
      <c r="N9" s="636"/>
      <c r="O9" s="635"/>
      <c r="P9" s="635"/>
      <c r="Q9" s="635"/>
    </row>
    <row r="10" spans="1:17" ht="11.25" customHeight="1">
      <c r="A10" s="642"/>
      <c r="B10" s="636"/>
      <c r="C10" s="635"/>
      <c r="D10" s="635"/>
      <c r="E10" s="635"/>
      <c r="F10" s="635"/>
      <c r="G10" s="635"/>
      <c r="H10" s="635"/>
      <c r="I10" s="652"/>
      <c r="J10" s="635"/>
      <c r="K10" s="635"/>
      <c r="L10" s="635"/>
      <c r="M10" s="635"/>
      <c r="N10" s="636"/>
      <c r="O10" s="635"/>
      <c r="P10" s="635"/>
      <c r="Q10" s="635"/>
    </row>
    <row r="11" spans="1:17" ht="11.25" customHeight="1">
      <c r="A11" s="643"/>
      <c r="B11" s="634"/>
      <c r="C11" s="635"/>
      <c r="D11" s="635"/>
      <c r="E11" s="635"/>
      <c r="F11" s="635"/>
      <c r="G11" s="635"/>
      <c r="H11" s="635"/>
      <c r="I11" s="653"/>
      <c r="J11" s="635"/>
      <c r="K11" s="635"/>
      <c r="L11" s="635"/>
      <c r="M11" s="635"/>
      <c r="N11" s="634"/>
      <c r="O11" s="635"/>
      <c r="P11" s="635"/>
      <c r="Q11" s="635"/>
    </row>
    <row r="12" spans="1:17" ht="13.5" customHeight="1">
      <c r="A12" s="312">
        <v>1</v>
      </c>
      <c r="B12" s="312">
        <v>2</v>
      </c>
      <c r="C12" s="312">
        <v>3</v>
      </c>
      <c r="D12" s="312">
        <v>4</v>
      </c>
      <c r="E12" s="312">
        <v>5</v>
      </c>
      <c r="F12" s="312">
        <v>6</v>
      </c>
      <c r="G12" s="312">
        <v>7</v>
      </c>
      <c r="H12" s="312">
        <v>8</v>
      </c>
      <c r="I12" s="312">
        <v>9</v>
      </c>
      <c r="J12" s="312">
        <v>10</v>
      </c>
      <c r="K12" s="312">
        <v>11</v>
      </c>
      <c r="L12" s="312">
        <v>12</v>
      </c>
      <c r="M12" s="312">
        <v>13</v>
      </c>
      <c r="N12" s="312">
        <v>14</v>
      </c>
      <c r="O12" s="312">
        <v>15</v>
      </c>
      <c r="P12" s="312">
        <v>16</v>
      </c>
      <c r="Q12" s="312">
        <v>17</v>
      </c>
    </row>
    <row r="13" spans="1:17" ht="32.25" customHeight="1">
      <c r="A13" s="329" t="s">
        <v>623</v>
      </c>
      <c r="B13" s="492">
        <f>10292756383.22</f>
        <v>10292756383.22</v>
      </c>
      <c r="C13" s="330">
        <f>7684920341.11</f>
        <v>7684920341.11</v>
      </c>
      <c r="D13" s="330">
        <f>734199498.4</f>
        <v>734199498.4</v>
      </c>
      <c r="E13" s="330">
        <f>153157942.14</f>
        <v>153157942.14</v>
      </c>
      <c r="F13" s="330">
        <f>313668111.76</f>
        <v>313668111.76</v>
      </c>
      <c r="G13" s="330">
        <f>266603484.06</f>
        <v>266603484.06</v>
      </c>
      <c r="H13" s="330">
        <f>769960.44</f>
        <v>769960.44</v>
      </c>
      <c r="I13" s="330">
        <f>12230260.9</f>
        <v>12230260.9</v>
      </c>
      <c r="J13" s="330">
        <f>6545948003.93</f>
        <v>6545948003.93</v>
      </c>
      <c r="K13" s="330">
        <f>295355567.53</f>
        <v>295355567.53</v>
      </c>
      <c r="L13" s="330">
        <f>45835710.1</f>
        <v>45835710.1</v>
      </c>
      <c r="M13" s="330">
        <f>46894127.67</f>
        <v>46894127.67</v>
      </c>
      <c r="N13" s="330">
        <f>4457172.58</f>
        <v>4457172.58</v>
      </c>
      <c r="O13" s="330">
        <f>2607836042.11</f>
        <v>2607836042.11</v>
      </c>
      <c r="P13" s="330">
        <f>2522532985.49</f>
        <v>2522532985.49</v>
      </c>
      <c r="Q13" s="330">
        <f>85303056.62</f>
        <v>85303056.62</v>
      </c>
    </row>
    <row r="14" spans="1:17" ht="32.25" customHeight="1">
      <c r="A14" s="480" t="s">
        <v>624</v>
      </c>
      <c r="B14" s="330">
        <f>1629250000</f>
        <v>1629250000</v>
      </c>
      <c r="C14" s="330">
        <f>1559250000</f>
        <v>1559250000</v>
      </c>
      <c r="D14" s="330">
        <f>0</f>
        <v>0</v>
      </c>
      <c r="E14" s="330">
        <f>0</f>
        <v>0</v>
      </c>
      <c r="F14" s="330">
        <f>0</f>
        <v>0</v>
      </c>
      <c r="G14" s="330">
        <f>0</f>
        <v>0</v>
      </c>
      <c r="H14" s="330">
        <f>0</f>
        <v>0</v>
      </c>
      <c r="I14" s="330">
        <f>0</f>
        <v>0</v>
      </c>
      <c r="J14" s="330">
        <f>1236929100</f>
        <v>1236929100</v>
      </c>
      <c r="K14" s="330">
        <f>288960200</f>
        <v>288960200</v>
      </c>
      <c r="L14" s="330">
        <f>0</f>
        <v>0</v>
      </c>
      <c r="M14" s="330">
        <f>33360700</f>
        <v>33360700</v>
      </c>
      <c r="N14" s="330">
        <f>0</f>
        <v>0</v>
      </c>
      <c r="O14" s="330">
        <f>70000000</f>
        <v>70000000</v>
      </c>
      <c r="P14" s="330">
        <f>70000000</f>
        <v>70000000</v>
      </c>
      <c r="Q14" s="330">
        <f>0</f>
        <v>0</v>
      </c>
    </row>
    <row r="15" spans="1:17" ht="20.25" customHeight="1">
      <c r="A15" s="481" t="s">
        <v>625</v>
      </c>
      <c r="B15" s="330">
        <f>0</f>
        <v>0</v>
      </c>
      <c r="C15" s="330">
        <f>0</f>
        <v>0</v>
      </c>
      <c r="D15" s="330">
        <f>0</f>
        <v>0</v>
      </c>
      <c r="E15" s="330">
        <f>0</f>
        <v>0</v>
      </c>
      <c r="F15" s="330">
        <f>0</f>
        <v>0</v>
      </c>
      <c r="G15" s="330">
        <f>0</f>
        <v>0</v>
      </c>
      <c r="H15" s="330">
        <f>0</f>
        <v>0</v>
      </c>
      <c r="I15" s="330">
        <f>0</f>
        <v>0</v>
      </c>
      <c r="J15" s="330">
        <f>0</f>
        <v>0</v>
      </c>
      <c r="K15" s="330">
        <f>0</f>
        <v>0</v>
      </c>
      <c r="L15" s="330">
        <f>0</f>
        <v>0</v>
      </c>
      <c r="M15" s="330">
        <f>0</f>
        <v>0</v>
      </c>
      <c r="N15" s="330">
        <f>0</f>
        <v>0</v>
      </c>
      <c r="O15" s="330">
        <f>0</f>
        <v>0</v>
      </c>
      <c r="P15" s="330">
        <f>0</f>
        <v>0</v>
      </c>
      <c r="Q15" s="330">
        <f>0</f>
        <v>0</v>
      </c>
    </row>
    <row r="16" spans="1:17" ht="26.25" customHeight="1">
      <c r="A16" s="481" t="s">
        <v>626</v>
      </c>
      <c r="B16" s="330">
        <f>1629250000</f>
        <v>1629250000</v>
      </c>
      <c r="C16" s="330">
        <f>1559250000</f>
        <v>1559250000</v>
      </c>
      <c r="D16" s="330">
        <f>0</f>
        <v>0</v>
      </c>
      <c r="E16" s="330">
        <f>0</f>
        <v>0</v>
      </c>
      <c r="F16" s="330">
        <f>0</f>
        <v>0</v>
      </c>
      <c r="G16" s="330">
        <f>0</f>
        <v>0</v>
      </c>
      <c r="H16" s="330">
        <f>0</f>
        <v>0</v>
      </c>
      <c r="I16" s="330">
        <f>0</f>
        <v>0</v>
      </c>
      <c r="J16" s="330">
        <f>1236929100</f>
        <v>1236929100</v>
      </c>
      <c r="K16" s="330">
        <f>288960200</f>
        <v>288960200</v>
      </c>
      <c r="L16" s="330">
        <f>0</f>
        <v>0</v>
      </c>
      <c r="M16" s="330">
        <f>33360700</f>
        <v>33360700</v>
      </c>
      <c r="N16" s="330">
        <f>0</f>
        <v>0</v>
      </c>
      <c r="O16" s="330">
        <f>70000000</f>
        <v>70000000</v>
      </c>
      <c r="P16" s="330">
        <f>70000000</f>
        <v>70000000</v>
      </c>
      <c r="Q16" s="330">
        <f>0</f>
        <v>0</v>
      </c>
    </row>
    <row r="17" spans="1:17" ht="31.5" customHeight="1">
      <c r="A17" s="482" t="s">
        <v>627</v>
      </c>
      <c r="B17" s="330">
        <f>8599267226.86</f>
        <v>8599267226.86</v>
      </c>
      <c r="C17" s="330">
        <f>6061431184.75</f>
        <v>6061431184.75</v>
      </c>
      <c r="D17" s="330">
        <f>732307294.81</f>
        <v>732307294.81</v>
      </c>
      <c r="E17" s="330">
        <f>152910293</f>
        <v>152910293</v>
      </c>
      <c r="F17" s="330">
        <f>313665494.76</f>
        <v>313665494.76</v>
      </c>
      <c r="G17" s="330">
        <f>265731507.05</f>
        <v>265731507.05</v>
      </c>
      <c r="H17" s="330">
        <f>0</f>
        <v>0</v>
      </c>
      <c r="I17" s="330">
        <f>12230260.9</f>
        <v>12230260.9</v>
      </c>
      <c r="J17" s="330">
        <f>5309018903.93</f>
        <v>5309018903.93</v>
      </c>
      <c r="K17" s="330">
        <f>6386471.11</f>
        <v>6386471.11</v>
      </c>
      <c r="L17" s="330">
        <f>1488254</f>
        <v>1488254</v>
      </c>
      <c r="M17" s="330">
        <f>0</f>
        <v>0</v>
      </c>
      <c r="N17" s="330">
        <f>0</f>
        <v>0</v>
      </c>
      <c r="O17" s="330">
        <f>2537836042.11</f>
        <v>2537836042.11</v>
      </c>
      <c r="P17" s="330">
        <f>2452532985.49</f>
        <v>2452532985.49</v>
      </c>
      <c r="Q17" s="330">
        <f>85303056.62</f>
        <v>85303056.62</v>
      </c>
    </row>
    <row r="18" spans="1:17" ht="26.25" customHeight="1">
      <c r="A18" s="483" t="s">
        <v>628</v>
      </c>
      <c r="B18" s="330">
        <f>101852361.85</f>
        <v>101852361.85</v>
      </c>
      <c r="C18" s="330">
        <f>101852361.85</f>
        <v>101852361.85</v>
      </c>
      <c r="D18" s="330">
        <f>75525795.91</f>
        <v>75525795.91</v>
      </c>
      <c r="E18" s="330">
        <f>74225797.17</f>
        <v>74225797.17</v>
      </c>
      <c r="F18" s="330">
        <f>1299998.74</f>
        <v>1299998.74</v>
      </c>
      <c r="G18" s="330">
        <f>0</f>
        <v>0</v>
      </c>
      <c r="H18" s="330">
        <f>0</f>
        <v>0</v>
      </c>
      <c r="I18" s="330">
        <f>12230260.9</f>
        <v>12230260.9</v>
      </c>
      <c r="J18" s="330">
        <f>14096305.04</f>
        <v>14096305.04</v>
      </c>
      <c r="K18" s="330">
        <f>0</f>
        <v>0</v>
      </c>
      <c r="L18" s="330">
        <f>0</f>
        <v>0</v>
      </c>
      <c r="M18" s="330">
        <f>0</f>
        <v>0</v>
      </c>
      <c r="N18" s="330">
        <f>0</f>
        <v>0</v>
      </c>
      <c r="O18" s="330">
        <f>0</f>
        <v>0</v>
      </c>
      <c r="P18" s="330">
        <f>0</f>
        <v>0</v>
      </c>
      <c r="Q18" s="330">
        <f>0</f>
        <v>0</v>
      </c>
    </row>
    <row r="19" spans="1:17" ht="27.75" customHeight="1">
      <c r="A19" s="484" t="s">
        <v>629</v>
      </c>
      <c r="B19" s="330">
        <f>8497414865.01</f>
        <v>8497414865.01</v>
      </c>
      <c r="C19" s="330">
        <f>5959578822.9</f>
        <v>5959578822.9</v>
      </c>
      <c r="D19" s="330">
        <f>656781498.9</f>
        <v>656781498.9</v>
      </c>
      <c r="E19" s="330">
        <f>78684495.83</f>
        <v>78684495.83</v>
      </c>
      <c r="F19" s="330">
        <f>312365496.02</f>
        <v>312365496.02</v>
      </c>
      <c r="G19" s="330">
        <f>265731507.05</f>
        <v>265731507.05</v>
      </c>
      <c r="H19" s="330">
        <f>0</f>
        <v>0</v>
      </c>
      <c r="I19" s="330">
        <f>0</f>
        <v>0</v>
      </c>
      <c r="J19" s="330">
        <f>5294922598.89</f>
        <v>5294922598.89</v>
      </c>
      <c r="K19" s="330">
        <f>6386471.11</f>
        <v>6386471.11</v>
      </c>
      <c r="L19" s="330">
        <f>1488254</f>
        <v>1488254</v>
      </c>
      <c r="M19" s="330">
        <f>0</f>
        <v>0</v>
      </c>
      <c r="N19" s="330">
        <f>0</f>
        <v>0</v>
      </c>
      <c r="O19" s="330">
        <f>2537836042.11</f>
        <v>2537836042.11</v>
      </c>
      <c r="P19" s="330">
        <f>2452532985.49</f>
        <v>2452532985.49</v>
      </c>
      <c r="Q19" s="330">
        <f>85303056.62</f>
        <v>85303056.62</v>
      </c>
    </row>
    <row r="20" spans="1:17" ht="26.25" customHeight="1">
      <c r="A20" s="485" t="s">
        <v>630</v>
      </c>
      <c r="B20" s="330">
        <f>3536.75</f>
        <v>3536.75</v>
      </c>
      <c r="C20" s="330">
        <f>3536.75</f>
        <v>3536.75</v>
      </c>
      <c r="D20" s="330">
        <f>0</f>
        <v>0</v>
      </c>
      <c r="E20" s="330">
        <f>0</f>
        <v>0</v>
      </c>
      <c r="F20" s="330">
        <f>0</f>
        <v>0</v>
      </c>
      <c r="G20" s="330">
        <f>0</f>
        <v>0</v>
      </c>
      <c r="H20" s="330">
        <f>0</f>
        <v>0</v>
      </c>
      <c r="I20" s="330">
        <f>0</f>
        <v>0</v>
      </c>
      <c r="J20" s="330">
        <f>0</f>
        <v>0</v>
      </c>
      <c r="K20" s="330">
        <f>0</f>
        <v>0</v>
      </c>
      <c r="L20" s="330">
        <f>0</f>
        <v>0</v>
      </c>
      <c r="M20" s="330">
        <f>3536.75</f>
        <v>3536.75</v>
      </c>
      <c r="N20" s="330">
        <f>0</f>
        <v>0</v>
      </c>
      <c r="O20" s="330">
        <f>0</f>
        <v>0</v>
      </c>
      <c r="P20" s="330">
        <f>0</f>
        <v>0</v>
      </c>
      <c r="Q20" s="330">
        <f>0</f>
        <v>0</v>
      </c>
    </row>
    <row r="21" spans="1:17" ht="31.5" customHeight="1">
      <c r="A21" s="480" t="s">
        <v>631</v>
      </c>
      <c r="B21" s="330">
        <f>64235619.61</f>
        <v>64235619.61</v>
      </c>
      <c r="C21" s="330">
        <f>64235619.61</f>
        <v>64235619.61</v>
      </c>
      <c r="D21" s="330">
        <f>1892203.59</f>
        <v>1892203.59</v>
      </c>
      <c r="E21" s="330">
        <f>247649.14</f>
        <v>247649.14</v>
      </c>
      <c r="F21" s="330">
        <f>2617</f>
        <v>2617</v>
      </c>
      <c r="G21" s="330">
        <f>871977.01</f>
        <v>871977.01</v>
      </c>
      <c r="H21" s="330">
        <f>769960.44</f>
        <v>769960.44</v>
      </c>
      <c r="I21" s="330">
        <f>0</f>
        <v>0</v>
      </c>
      <c r="J21" s="330">
        <f>0</f>
        <v>0</v>
      </c>
      <c r="K21" s="330">
        <f>8896.42</f>
        <v>8896.42</v>
      </c>
      <c r="L21" s="330">
        <f>44347456.1</f>
        <v>44347456.1</v>
      </c>
      <c r="M21" s="330">
        <f>13529890.92</f>
        <v>13529890.92</v>
      </c>
      <c r="N21" s="330">
        <f>4457172.58</f>
        <v>4457172.58</v>
      </c>
      <c r="O21" s="330">
        <f>0</f>
        <v>0</v>
      </c>
      <c r="P21" s="330">
        <f>0</f>
        <v>0</v>
      </c>
      <c r="Q21" s="330">
        <f>0</f>
        <v>0</v>
      </c>
    </row>
    <row r="22" spans="1:17" ht="26.25" customHeight="1">
      <c r="A22" s="481" t="s">
        <v>632</v>
      </c>
      <c r="B22" s="330">
        <f>56481882.11</f>
        <v>56481882.11</v>
      </c>
      <c r="C22" s="330">
        <f>56481882.11</f>
        <v>56481882.11</v>
      </c>
      <c r="D22" s="330">
        <f>590152.19</f>
        <v>590152.19</v>
      </c>
      <c r="E22" s="330">
        <f>547.5</f>
        <v>547.5</v>
      </c>
      <c r="F22" s="330">
        <f>0</f>
        <v>0</v>
      </c>
      <c r="G22" s="330">
        <f>589604.69</f>
        <v>589604.69</v>
      </c>
      <c r="H22" s="330">
        <f>0</f>
        <v>0</v>
      </c>
      <c r="I22" s="330">
        <f>0</f>
        <v>0</v>
      </c>
      <c r="J22" s="330">
        <f>0</f>
        <v>0</v>
      </c>
      <c r="K22" s="330">
        <f>7521.62</f>
        <v>7521.62</v>
      </c>
      <c r="L22" s="330">
        <f>43406649.52</f>
        <v>43406649.52</v>
      </c>
      <c r="M22" s="330">
        <f>8048917.52</f>
        <v>8048917.52</v>
      </c>
      <c r="N22" s="330">
        <f>4428641.26</f>
        <v>4428641.26</v>
      </c>
      <c r="O22" s="330">
        <f>0</f>
        <v>0</v>
      </c>
      <c r="P22" s="330">
        <f>0</f>
        <v>0</v>
      </c>
      <c r="Q22" s="330">
        <f>0</f>
        <v>0</v>
      </c>
    </row>
    <row r="23" spans="1:17" ht="27" customHeight="1" thickBot="1">
      <c r="A23" s="486" t="s">
        <v>633</v>
      </c>
      <c r="B23" s="330">
        <f>7753737.5</f>
        <v>7753737.5</v>
      </c>
      <c r="C23" s="330">
        <f>7753737.5</f>
        <v>7753737.5</v>
      </c>
      <c r="D23" s="330">
        <f>1302051.4</f>
        <v>1302051.4</v>
      </c>
      <c r="E23" s="330">
        <f>247101.64</f>
        <v>247101.64</v>
      </c>
      <c r="F23" s="330">
        <f>2617</f>
        <v>2617</v>
      </c>
      <c r="G23" s="330">
        <f>282372.32</f>
        <v>282372.32</v>
      </c>
      <c r="H23" s="330">
        <f>769960.44</f>
        <v>769960.44</v>
      </c>
      <c r="I23" s="330">
        <f>0</f>
        <v>0</v>
      </c>
      <c r="J23" s="330">
        <f>0</f>
        <v>0</v>
      </c>
      <c r="K23" s="330">
        <f>1374.8</f>
        <v>1374.8</v>
      </c>
      <c r="L23" s="330">
        <f>940806.58</f>
        <v>940806.58</v>
      </c>
      <c r="M23" s="330">
        <f>5480973.4</f>
        <v>5480973.4</v>
      </c>
      <c r="N23" s="330">
        <f>28531.32</f>
        <v>28531.32</v>
      </c>
      <c r="O23" s="330">
        <f>0</f>
        <v>0</v>
      </c>
      <c r="P23" s="330">
        <f>0</f>
        <v>0</v>
      </c>
      <c r="Q23" s="330">
        <f>0</f>
        <v>0</v>
      </c>
    </row>
    <row r="24" spans="1:17" ht="45.75" customHeight="1">
      <c r="A24" s="637" t="str">
        <f>A1</f>
        <v>Informacja z wykonania budżetów miast na prawach powiatu za  II Kwartały 2008 roku</v>
      </c>
      <c r="B24" s="637"/>
      <c r="C24" s="637"/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327"/>
      <c r="O24" s="327"/>
      <c r="P24" s="327"/>
      <c r="Q24" s="327"/>
    </row>
    <row r="25" spans="1:17" ht="13.5" customHeight="1">
      <c r="A25" s="327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</row>
    <row r="26" spans="1:17" ht="13.5" customHeight="1">
      <c r="A26" s="327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</row>
    <row r="27" spans="1:17" ht="13.5" customHeight="1">
      <c r="A27" s="639" t="s">
        <v>634</v>
      </c>
      <c r="B27" s="639"/>
      <c r="C27" s="639"/>
      <c r="D27" s="639"/>
      <c r="E27" s="639"/>
      <c r="F27" s="639"/>
      <c r="G27" s="639"/>
      <c r="H27" s="639"/>
      <c r="I27" s="639"/>
      <c r="J27" s="639"/>
      <c r="K27" s="639"/>
      <c r="L27" s="639"/>
      <c r="M27" s="639"/>
      <c r="N27" s="327"/>
      <c r="O27" s="327"/>
      <c r="P27" s="327"/>
      <c r="Q27" s="327"/>
    </row>
    <row r="28" spans="1:17" ht="13.5" customHeight="1">
      <c r="A28" s="327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</row>
    <row r="29" spans="1:17" ht="13.5" customHeight="1">
      <c r="A29" s="641" t="s">
        <v>460</v>
      </c>
      <c r="B29" s="640" t="s">
        <v>635</v>
      </c>
      <c r="C29" s="813" t="s">
        <v>636</v>
      </c>
      <c r="D29" s="814"/>
      <c r="E29" s="814"/>
      <c r="F29" s="814"/>
      <c r="G29" s="814"/>
      <c r="H29" s="814"/>
      <c r="I29" s="814"/>
      <c r="J29" s="814"/>
      <c r="K29" s="814"/>
      <c r="L29" s="814"/>
      <c r="M29" s="814"/>
      <c r="N29" s="815"/>
      <c r="O29" s="813" t="s">
        <v>637</v>
      </c>
      <c r="P29" s="814"/>
      <c r="Q29" s="815"/>
    </row>
    <row r="30" spans="1:17" ht="13.5" customHeight="1">
      <c r="A30" s="642"/>
      <c r="B30" s="636"/>
      <c r="C30" s="636" t="s">
        <v>638</v>
      </c>
      <c r="D30" s="635" t="s">
        <v>639</v>
      </c>
      <c r="E30" s="635" t="s">
        <v>640</v>
      </c>
      <c r="F30" s="635" t="s">
        <v>641</v>
      </c>
      <c r="G30" s="635" t="s">
        <v>642</v>
      </c>
      <c r="H30" s="635" t="s">
        <v>613</v>
      </c>
      <c r="I30" s="635" t="s">
        <v>643</v>
      </c>
      <c r="J30" s="635" t="s">
        <v>615</v>
      </c>
      <c r="K30" s="635" t="s">
        <v>616</v>
      </c>
      <c r="L30" s="635" t="s">
        <v>617</v>
      </c>
      <c r="M30" s="635" t="s">
        <v>618</v>
      </c>
      <c r="N30" s="812" t="s">
        <v>619</v>
      </c>
      <c r="O30" s="635" t="s">
        <v>620</v>
      </c>
      <c r="P30" s="635" t="s">
        <v>621</v>
      </c>
      <c r="Q30" s="640" t="s">
        <v>622</v>
      </c>
    </row>
    <row r="31" spans="1:17" ht="13.5" customHeight="1">
      <c r="A31" s="642"/>
      <c r="B31" s="636"/>
      <c r="C31" s="636"/>
      <c r="D31" s="635"/>
      <c r="E31" s="635"/>
      <c r="F31" s="635"/>
      <c r="G31" s="635"/>
      <c r="H31" s="635"/>
      <c r="I31" s="635"/>
      <c r="J31" s="635"/>
      <c r="K31" s="635"/>
      <c r="L31" s="635"/>
      <c r="M31" s="635"/>
      <c r="N31" s="812"/>
      <c r="O31" s="635"/>
      <c r="P31" s="635"/>
      <c r="Q31" s="636"/>
    </row>
    <row r="32" spans="1:17" ht="11.25" customHeight="1">
      <c r="A32" s="642"/>
      <c r="B32" s="636"/>
      <c r="C32" s="636"/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812"/>
      <c r="O32" s="635"/>
      <c r="P32" s="635"/>
      <c r="Q32" s="636"/>
    </row>
    <row r="33" spans="1:17" ht="11.25" customHeight="1">
      <c r="A33" s="643"/>
      <c r="B33" s="634"/>
      <c r="C33" s="634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812"/>
      <c r="O33" s="635"/>
      <c r="P33" s="635"/>
      <c r="Q33" s="634"/>
    </row>
    <row r="34" spans="1:17" ht="13.5" customHeight="1">
      <c r="A34" s="312">
        <v>1</v>
      </c>
      <c r="B34" s="312">
        <v>2</v>
      </c>
      <c r="C34" s="312">
        <v>3</v>
      </c>
      <c r="D34" s="312">
        <v>4</v>
      </c>
      <c r="E34" s="312">
        <v>5</v>
      </c>
      <c r="F34" s="312">
        <v>6</v>
      </c>
      <c r="G34" s="312">
        <v>7</v>
      </c>
      <c r="H34" s="312">
        <v>8</v>
      </c>
      <c r="I34" s="312">
        <v>9</v>
      </c>
      <c r="J34" s="312">
        <v>10</v>
      </c>
      <c r="K34" s="312">
        <v>11</v>
      </c>
      <c r="L34" s="312">
        <v>12</v>
      </c>
      <c r="M34" s="312">
        <v>13</v>
      </c>
      <c r="N34" s="312">
        <v>14</v>
      </c>
      <c r="O34" s="312">
        <v>15</v>
      </c>
      <c r="P34" s="312">
        <v>16</v>
      </c>
      <c r="Q34" s="312">
        <v>17</v>
      </c>
    </row>
    <row r="35" spans="1:17" ht="27.75" customHeight="1">
      <c r="A35" s="329" t="s">
        <v>644</v>
      </c>
      <c r="B35" s="331">
        <f>15599405515.06</f>
        <v>15599405515.06</v>
      </c>
      <c r="C35" s="331">
        <f>15597692858.17</f>
        <v>15597692858.17</v>
      </c>
      <c r="D35" s="331">
        <f>848823385.13</f>
        <v>848823385.13</v>
      </c>
      <c r="E35" s="331">
        <f>270216866.17</f>
        <v>270216866.17</v>
      </c>
      <c r="F35" s="331">
        <f>40265962.06</f>
        <v>40265962.06</v>
      </c>
      <c r="G35" s="331">
        <f>525581704.68</f>
        <v>525581704.68</v>
      </c>
      <c r="H35" s="331">
        <f>12758852.22</f>
        <v>12758852.22</v>
      </c>
      <c r="I35" s="331">
        <f>200924.18</f>
        <v>200924.18</v>
      </c>
      <c r="J35" s="331">
        <f>6698736503.48</f>
        <v>6698736503.48</v>
      </c>
      <c r="K35" s="331">
        <f>83302179.5</f>
        <v>83302179.5</v>
      </c>
      <c r="L35" s="331">
        <f>4576386883.9</f>
        <v>4576386883.9</v>
      </c>
      <c r="M35" s="331">
        <f>3241444603.69</f>
        <v>3241444603.69</v>
      </c>
      <c r="N35" s="331">
        <f>148798378.29</f>
        <v>148798378.29</v>
      </c>
      <c r="O35" s="331">
        <f>1712656.89</f>
        <v>1712656.89</v>
      </c>
      <c r="P35" s="331">
        <f>1641669.09</f>
        <v>1641669.09</v>
      </c>
      <c r="Q35" s="331">
        <f>70987.8</f>
        <v>70987.8</v>
      </c>
    </row>
    <row r="36" spans="1:17" ht="23.25" customHeight="1">
      <c r="A36" s="487" t="s">
        <v>645</v>
      </c>
      <c r="B36" s="331">
        <f aca="true" t="shared" si="0" ref="B36:D37">8764.25</f>
        <v>8764.25</v>
      </c>
      <c r="C36" s="331">
        <f t="shared" si="0"/>
        <v>8764.25</v>
      </c>
      <c r="D36" s="331">
        <f t="shared" si="0"/>
        <v>8764.25</v>
      </c>
      <c r="E36" s="331">
        <f>0</f>
        <v>0</v>
      </c>
      <c r="F36" s="331">
        <f>0</f>
        <v>0</v>
      </c>
      <c r="G36" s="331">
        <f>8764.25</f>
        <v>8764.25</v>
      </c>
      <c r="H36" s="331">
        <f>0</f>
        <v>0</v>
      </c>
      <c r="I36" s="331">
        <f>0</f>
        <v>0</v>
      </c>
      <c r="J36" s="331">
        <f>0</f>
        <v>0</v>
      </c>
      <c r="K36" s="331">
        <f>0</f>
        <v>0</v>
      </c>
      <c r="L36" s="331">
        <f>0</f>
        <v>0</v>
      </c>
      <c r="M36" s="331">
        <f>0</f>
        <v>0</v>
      </c>
      <c r="N36" s="331">
        <f>0</f>
        <v>0</v>
      </c>
      <c r="O36" s="331">
        <f>0</f>
        <v>0</v>
      </c>
      <c r="P36" s="331">
        <f>0</f>
        <v>0</v>
      </c>
      <c r="Q36" s="331">
        <f>0</f>
        <v>0</v>
      </c>
    </row>
    <row r="37" spans="1:17" ht="16.5" customHeight="1">
      <c r="A37" s="488" t="s">
        <v>646</v>
      </c>
      <c r="B37" s="331">
        <f t="shared" si="0"/>
        <v>8764.25</v>
      </c>
      <c r="C37" s="331">
        <f t="shared" si="0"/>
        <v>8764.25</v>
      </c>
      <c r="D37" s="331">
        <f t="shared" si="0"/>
        <v>8764.25</v>
      </c>
      <c r="E37" s="331">
        <f>0</f>
        <v>0</v>
      </c>
      <c r="F37" s="331">
        <f>0</f>
        <v>0</v>
      </c>
      <c r="G37" s="331">
        <f>8764.25</f>
        <v>8764.25</v>
      </c>
      <c r="H37" s="331">
        <f>0</f>
        <v>0</v>
      </c>
      <c r="I37" s="331">
        <f>0</f>
        <v>0</v>
      </c>
      <c r="J37" s="331">
        <f>0</f>
        <v>0</v>
      </c>
      <c r="K37" s="331">
        <f>0</f>
        <v>0</v>
      </c>
      <c r="L37" s="331">
        <f>0</f>
        <v>0</v>
      </c>
      <c r="M37" s="331">
        <f>0</f>
        <v>0</v>
      </c>
      <c r="N37" s="331">
        <f>0</f>
        <v>0</v>
      </c>
      <c r="O37" s="331">
        <f>0</f>
        <v>0</v>
      </c>
      <c r="P37" s="331">
        <f>0</f>
        <v>0</v>
      </c>
      <c r="Q37" s="331">
        <f>0</f>
        <v>0</v>
      </c>
    </row>
    <row r="38" spans="1:17" ht="15.75" customHeight="1">
      <c r="A38" s="488" t="s">
        <v>647</v>
      </c>
      <c r="B38" s="331">
        <f>0</f>
        <v>0</v>
      </c>
      <c r="C38" s="331">
        <f>0</f>
        <v>0</v>
      </c>
      <c r="D38" s="331">
        <f>0</f>
        <v>0</v>
      </c>
      <c r="E38" s="331">
        <f>0</f>
        <v>0</v>
      </c>
      <c r="F38" s="331">
        <f>0</f>
        <v>0</v>
      </c>
      <c r="G38" s="331">
        <f>0</f>
        <v>0</v>
      </c>
      <c r="H38" s="331">
        <f>0</f>
        <v>0</v>
      </c>
      <c r="I38" s="331">
        <f>0</f>
        <v>0</v>
      </c>
      <c r="J38" s="331">
        <f>0</f>
        <v>0</v>
      </c>
      <c r="K38" s="331">
        <f>0</f>
        <v>0</v>
      </c>
      <c r="L38" s="331">
        <f>0</f>
        <v>0</v>
      </c>
      <c r="M38" s="331">
        <f>0</f>
        <v>0</v>
      </c>
      <c r="N38" s="331">
        <f>0</f>
        <v>0</v>
      </c>
      <c r="O38" s="331">
        <f>0</f>
        <v>0</v>
      </c>
      <c r="P38" s="331">
        <f>0</f>
        <v>0</v>
      </c>
      <c r="Q38" s="331">
        <f>0</f>
        <v>0</v>
      </c>
    </row>
    <row r="39" spans="1:17" ht="15" customHeight="1">
      <c r="A39" s="489" t="s">
        <v>648</v>
      </c>
      <c r="B39" s="331">
        <f>167167397.74</f>
        <v>167167397.74</v>
      </c>
      <c r="C39" s="331">
        <f>167167397.74</f>
        <v>167167397.74</v>
      </c>
      <c r="D39" s="331">
        <f>109440423.06</f>
        <v>109440423.06</v>
      </c>
      <c r="E39" s="331">
        <f>0</f>
        <v>0</v>
      </c>
      <c r="F39" s="331">
        <f>3023993.07</f>
        <v>3023993.07</v>
      </c>
      <c r="G39" s="331">
        <f>106416429.99</f>
        <v>106416429.99</v>
      </c>
      <c r="H39" s="331">
        <f>0</f>
        <v>0</v>
      </c>
      <c r="I39" s="331">
        <f>0</f>
        <v>0</v>
      </c>
      <c r="J39" s="331">
        <f>0</f>
        <v>0</v>
      </c>
      <c r="K39" s="331">
        <f>0</f>
        <v>0</v>
      </c>
      <c r="L39" s="331">
        <f>25903883.76</f>
        <v>25903883.76</v>
      </c>
      <c r="M39" s="331">
        <f>27470561.71</f>
        <v>27470561.71</v>
      </c>
      <c r="N39" s="331">
        <f>4352529.21</f>
        <v>4352529.21</v>
      </c>
      <c r="O39" s="331">
        <f>0</f>
        <v>0</v>
      </c>
      <c r="P39" s="331">
        <f>0</f>
        <v>0</v>
      </c>
      <c r="Q39" s="331">
        <f>0</f>
        <v>0</v>
      </c>
    </row>
    <row r="40" spans="1:17" ht="15" customHeight="1">
      <c r="A40" s="488" t="s">
        <v>649</v>
      </c>
      <c r="B40" s="331">
        <f>47647778.17</f>
        <v>47647778.17</v>
      </c>
      <c r="C40" s="331">
        <f>47647778.17</f>
        <v>47647778.17</v>
      </c>
      <c r="D40" s="331">
        <f>25402411.19</f>
        <v>25402411.19</v>
      </c>
      <c r="E40" s="331">
        <f>0</f>
        <v>0</v>
      </c>
      <c r="F40" s="331">
        <f>2723993.07</f>
        <v>2723993.07</v>
      </c>
      <c r="G40" s="331">
        <f>22678418.12</f>
        <v>22678418.12</v>
      </c>
      <c r="H40" s="331">
        <f>0</f>
        <v>0</v>
      </c>
      <c r="I40" s="331">
        <f>0</f>
        <v>0</v>
      </c>
      <c r="J40" s="331">
        <f>0</f>
        <v>0</v>
      </c>
      <c r="K40" s="331">
        <f>0</f>
        <v>0</v>
      </c>
      <c r="L40" s="331">
        <f>22039807.64</f>
        <v>22039807.64</v>
      </c>
      <c r="M40" s="331">
        <f>30559.34</f>
        <v>30559.34</v>
      </c>
      <c r="N40" s="331">
        <f>175000</f>
        <v>175000</v>
      </c>
      <c r="O40" s="331">
        <f>0</f>
        <v>0</v>
      </c>
      <c r="P40" s="331">
        <f>0</f>
        <v>0</v>
      </c>
      <c r="Q40" s="331">
        <f>0</f>
        <v>0</v>
      </c>
    </row>
    <row r="41" spans="1:17" ht="16.5" customHeight="1">
      <c r="A41" s="490" t="s">
        <v>650</v>
      </c>
      <c r="B41" s="331">
        <f>119519619.57</f>
        <v>119519619.57</v>
      </c>
      <c r="C41" s="331">
        <f>119519619.57</f>
        <v>119519619.57</v>
      </c>
      <c r="D41" s="331">
        <f>84038011.87</f>
        <v>84038011.87</v>
      </c>
      <c r="E41" s="331">
        <f>0</f>
        <v>0</v>
      </c>
      <c r="F41" s="331">
        <f>300000</f>
        <v>300000</v>
      </c>
      <c r="G41" s="331">
        <f>83738011.87</f>
        <v>83738011.87</v>
      </c>
      <c r="H41" s="331">
        <f>0</f>
        <v>0</v>
      </c>
      <c r="I41" s="331">
        <f>0</f>
        <v>0</v>
      </c>
      <c r="J41" s="331">
        <f>0</f>
        <v>0</v>
      </c>
      <c r="K41" s="331">
        <f>0</f>
        <v>0</v>
      </c>
      <c r="L41" s="331">
        <f>3864076.12</f>
        <v>3864076.12</v>
      </c>
      <c r="M41" s="331">
        <f>27440002.37</f>
        <v>27440002.37</v>
      </c>
      <c r="N41" s="331">
        <f>4177529.21</f>
        <v>4177529.21</v>
      </c>
      <c r="O41" s="331">
        <f>0</f>
        <v>0</v>
      </c>
      <c r="P41" s="331">
        <f>0</f>
        <v>0</v>
      </c>
      <c r="Q41" s="331">
        <f>0</f>
        <v>0</v>
      </c>
    </row>
    <row r="42" spans="1:17" ht="19.5">
      <c r="A42" s="487" t="s">
        <v>651</v>
      </c>
      <c r="B42" s="331">
        <f>6748472624.45</f>
        <v>6748472624.45</v>
      </c>
      <c r="C42" s="331">
        <f>6748472624.45</f>
        <v>6748472624.45</v>
      </c>
      <c r="D42" s="331">
        <f>13935848.95</f>
        <v>13935848.95</v>
      </c>
      <c r="E42" s="331">
        <f>491140.15</f>
        <v>491140.15</v>
      </c>
      <c r="F42" s="331">
        <f>4000</f>
        <v>4000</v>
      </c>
      <c r="G42" s="331">
        <f>13436820.8</f>
        <v>13436820.8</v>
      </c>
      <c r="H42" s="331">
        <f>3888</f>
        <v>3888</v>
      </c>
      <c r="I42" s="331">
        <f>0</f>
        <v>0</v>
      </c>
      <c r="J42" s="331">
        <f>6687646169.37</f>
        <v>6687646169.37</v>
      </c>
      <c r="K42" s="331">
        <f>35626566.4</f>
        <v>35626566.4</v>
      </c>
      <c r="L42" s="331">
        <f>11131206.52</f>
        <v>11131206.52</v>
      </c>
      <c r="M42" s="331">
        <f>132833.21</f>
        <v>132833.21</v>
      </c>
      <c r="N42" s="331">
        <f>0</f>
        <v>0</v>
      </c>
      <c r="O42" s="331">
        <f>0</f>
        <v>0</v>
      </c>
      <c r="P42" s="331">
        <f>0</f>
        <v>0</v>
      </c>
      <c r="Q42" s="331">
        <f>0</f>
        <v>0</v>
      </c>
    </row>
    <row r="43" spans="1:17" ht="13.5" customHeight="1">
      <c r="A43" s="490" t="s">
        <v>652</v>
      </c>
      <c r="B43" s="331">
        <f>12934621.79</f>
        <v>12934621.79</v>
      </c>
      <c r="C43" s="331">
        <f>12934621.79</f>
        <v>12934621.79</v>
      </c>
      <c r="D43" s="331">
        <f>11256129.56</f>
        <v>11256129.56</v>
      </c>
      <c r="E43" s="331">
        <f>5233.83</f>
        <v>5233.83</v>
      </c>
      <c r="F43" s="331">
        <f>1000</f>
        <v>1000</v>
      </c>
      <c r="G43" s="331">
        <f>11246007.73</f>
        <v>11246007.73</v>
      </c>
      <c r="H43" s="331">
        <f>3888</f>
        <v>3888</v>
      </c>
      <c r="I43" s="331">
        <f>0</f>
        <v>0</v>
      </c>
      <c r="J43" s="331">
        <f>1678392.23</f>
        <v>1678392.23</v>
      </c>
      <c r="K43" s="331">
        <f>0</f>
        <v>0</v>
      </c>
      <c r="L43" s="331">
        <f>0</f>
        <v>0</v>
      </c>
      <c r="M43" s="331">
        <f>100</f>
        <v>100</v>
      </c>
      <c r="N43" s="331">
        <f>0</f>
        <v>0</v>
      </c>
      <c r="O43" s="331">
        <f>0</f>
        <v>0</v>
      </c>
      <c r="P43" s="331">
        <f>0</f>
        <v>0</v>
      </c>
      <c r="Q43" s="331">
        <f>0</f>
        <v>0</v>
      </c>
    </row>
    <row r="44" spans="1:17" ht="13.5" customHeight="1">
      <c r="A44" s="490" t="s">
        <v>653</v>
      </c>
      <c r="B44" s="331">
        <f>2841895199.56</f>
        <v>2841895199.56</v>
      </c>
      <c r="C44" s="331">
        <f>2841895199.56</f>
        <v>2841895199.56</v>
      </c>
      <c r="D44" s="331">
        <f>1813286.8</f>
        <v>1813286.8</v>
      </c>
      <c r="E44" s="331">
        <f>485906.32</f>
        <v>485906.32</v>
      </c>
      <c r="F44" s="331">
        <f>0</f>
        <v>0</v>
      </c>
      <c r="G44" s="331">
        <f>1327380.48</f>
        <v>1327380.48</v>
      </c>
      <c r="H44" s="331">
        <f>0</f>
        <v>0</v>
      </c>
      <c r="I44" s="331">
        <f>0</f>
        <v>0</v>
      </c>
      <c r="J44" s="331">
        <f>2807966683.5</f>
        <v>2807966683.5</v>
      </c>
      <c r="K44" s="331">
        <f>21126566.4</f>
        <v>21126566.4</v>
      </c>
      <c r="L44" s="331">
        <f>10865929.65</f>
        <v>10865929.65</v>
      </c>
      <c r="M44" s="331">
        <f>122733.21</f>
        <v>122733.21</v>
      </c>
      <c r="N44" s="331">
        <f>0</f>
        <v>0</v>
      </c>
      <c r="O44" s="331">
        <f>0</f>
        <v>0</v>
      </c>
      <c r="P44" s="331">
        <f>0</f>
        <v>0</v>
      </c>
      <c r="Q44" s="331">
        <f>0</f>
        <v>0</v>
      </c>
    </row>
    <row r="45" spans="1:17" ht="13.5" customHeight="1">
      <c r="A45" s="490" t="s">
        <v>654</v>
      </c>
      <c r="B45" s="331">
        <f>3893642803.1</f>
        <v>3893642803.1</v>
      </c>
      <c r="C45" s="331">
        <f>3893642803.1</f>
        <v>3893642803.1</v>
      </c>
      <c r="D45" s="331">
        <f>866432.59</f>
        <v>866432.59</v>
      </c>
      <c r="E45" s="331">
        <f>0</f>
        <v>0</v>
      </c>
      <c r="F45" s="331">
        <f>3000</f>
        <v>3000</v>
      </c>
      <c r="G45" s="331">
        <f>863432.59</f>
        <v>863432.59</v>
      </c>
      <c r="H45" s="331">
        <f>0</f>
        <v>0</v>
      </c>
      <c r="I45" s="331">
        <f>0</f>
        <v>0</v>
      </c>
      <c r="J45" s="331">
        <f>3878001093.64</f>
        <v>3878001093.64</v>
      </c>
      <c r="K45" s="331">
        <f>14500000</f>
        <v>14500000</v>
      </c>
      <c r="L45" s="331">
        <f>265276.87</f>
        <v>265276.87</v>
      </c>
      <c r="M45" s="331">
        <f>10000</f>
        <v>10000</v>
      </c>
      <c r="N45" s="331">
        <f>0</f>
        <v>0</v>
      </c>
      <c r="O45" s="331">
        <f>0</f>
        <v>0</v>
      </c>
      <c r="P45" s="331">
        <f>0</f>
        <v>0</v>
      </c>
      <c r="Q45" s="331">
        <f>0</f>
        <v>0</v>
      </c>
    </row>
    <row r="46" spans="1:17" ht="21" customHeight="1">
      <c r="A46" s="487" t="s">
        <v>655</v>
      </c>
      <c r="B46" s="331">
        <f>4640279855.28</f>
        <v>4640279855.28</v>
      </c>
      <c r="C46" s="331">
        <f>4639973043.65</f>
        <v>4639973043.65</v>
      </c>
      <c r="D46" s="331">
        <f>298211120.08</f>
        <v>298211120.08</v>
      </c>
      <c r="E46" s="331">
        <f>77928946.98</f>
        <v>77928946.98</v>
      </c>
      <c r="F46" s="331">
        <f>8562965.66</f>
        <v>8562965.66</v>
      </c>
      <c r="G46" s="331">
        <f>211574775.54</f>
        <v>211574775.54</v>
      </c>
      <c r="H46" s="331">
        <f>144431.9</f>
        <v>144431.9</v>
      </c>
      <c r="I46" s="331">
        <f>9083.11</f>
        <v>9083.11</v>
      </c>
      <c r="J46" s="331">
        <f>501049.19</f>
        <v>501049.19</v>
      </c>
      <c r="K46" s="331">
        <f>16848868.73</f>
        <v>16848868.73</v>
      </c>
      <c r="L46" s="331">
        <f>1771485102.88</f>
        <v>1771485102.88</v>
      </c>
      <c r="M46" s="331">
        <f>2521140912.23</f>
        <v>2521140912.23</v>
      </c>
      <c r="N46" s="331">
        <f>31776907.43</f>
        <v>31776907.43</v>
      </c>
      <c r="O46" s="331">
        <f>306811.63</f>
        <v>306811.63</v>
      </c>
      <c r="P46" s="331">
        <f>306732.44</f>
        <v>306732.44</v>
      </c>
      <c r="Q46" s="331">
        <f>79.19</f>
        <v>79.19</v>
      </c>
    </row>
    <row r="47" spans="1:17" ht="21" customHeight="1">
      <c r="A47" s="488" t="s">
        <v>656</v>
      </c>
      <c r="B47" s="331">
        <f>1932740527.74</f>
        <v>1932740527.74</v>
      </c>
      <c r="C47" s="331">
        <f>1932643934.3</f>
        <v>1932643934.3</v>
      </c>
      <c r="D47" s="331">
        <f>168468129.62</f>
        <v>168468129.62</v>
      </c>
      <c r="E47" s="331">
        <f>875674.51</f>
        <v>875674.51</v>
      </c>
      <c r="F47" s="331">
        <f>233596.86</f>
        <v>233596.86</v>
      </c>
      <c r="G47" s="331">
        <f>167309292.47</f>
        <v>167309292.47</v>
      </c>
      <c r="H47" s="331">
        <f>49565.78</f>
        <v>49565.78</v>
      </c>
      <c r="I47" s="331">
        <f>0</f>
        <v>0</v>
      </c>
      <c r="J47" s="331">
        <f>260886.11</f>
        <v>260886.11</v>
      </c>
      <c r="K47" s="331">
        <f>7618630.73</f>
        <v>7618630.73</v>
      </c>
      <c r="L47" s="331">
        <f>320841689.48</f>
        <v>320841689.48</v>
      </c>
      <c r="M47" s="331">
        <f>1414777786.01</f>
        <v>1414777786.01</v>
      </c>
      <c r="N47" s="331">
        <f>20676812.35</f>
        <v>20676812.35</v>
      </c>
      <c r="O47" s="331">
        <f>96593.44</f>
        <v>96593.44</v>
      </c>
      <c r="P47" s="331">
        <f>96514.25</f>
        <v>96514.25</v>
      </c>
      <c r="Q47" s="331">
        <f>79.19</f>
        <v>79.19</v>
      </c>
    </row>
    <row r="48" spans="1:17" ht="13.5" customHeight="1">
      <c r="A48" s="488" t="s">
        <v>657</v>
      </c>
      <c r="B48" s="331">
        <f>2707539327.54</f>
        <v>2707539327.54</v>
      </c>
      <c r="C48" s="331">
        <f>2707329109.35</f>
        <v>2707329109.35</v>
      </c>
      <c r="D48" s="331">
        <f>129742990.46</f>
        <v>129742990.46</v>
      </c>
      <c r="E48" s="331">
        <f>77053272.47</f>
        <v>77053272.47</v>
      </c>
      <c r="F48" s="331">
        <f>8329368.8</f>
        <v>8329368.8</v>
      </c>
      <c r="G48" s="331">
        <f>44265483.07</f>
        <v>44265483.07</v>
      </c>
      <c r="H48" s="331">
        <f>94866.12</f>
        <v>94866.12</v>
      </c>
      <c r="I48" s="331">
        <f>9083.11</f>
        <v>9083.11</v>
      </c>
      <c r="J48" s="331">
        <f>240163.08</f>
        <v>240163.08</v>
      </c>
      <c r="K48" s="331">
        <f>9230238</f>
        <v>9230238</v>
      </c>
      <c r="L48" s="331">
        <f>1450643413.4</f>
        <v>1450643413.4</v>
      </c>
      <c r="M48" s="331">
        <f>1106363126.22</f>
        <v>1106363126.22</v>
      </c>
      <c r="N48" s="331">
        <f>11100095.08</f>
        <v>11100095.08</v>
      </c>
      <c r="O48" s="331">
        <f>210218.19</f>
        <v>210218.19</v>
      </c>
      <c r="P48" s="331">
        <f>210218.19</f>
        <v>210218.19</v>
      </c>
      <c r="Q48" s="331">
        <f>0</f>
        <v>0</v>
      </c>
    </row>
    <row r="49" spans="1:17" ht="25.5" customHeight="1">
      <c r="A49" s="487" t="s">
        <v>658</v>
      </c>
      <c r="B49" s="331">
        <f>4043476873.34</f>
        <v>4043476873.34</v>
      </c>
      <c r="C49" s="331">
        <f>4042071028.08</f>
        <v>4042071028.08</v>
      </c>
      <c r="D49" s="331">
        <f>427227228.79</f>
        <v>427227228.79</v>
      </c>
      <c r="E49" s="331">
        <f>191796779.04</f>
        <v>191796779.04</v>
      </c>
      <c r="F49" s="331">
        <f>28675003.33</f>
        <v>28675003.33</v>
      </c>
      <c r="G49" s="331">
        <f>194144914.1</f>
        <v>194144914.1</v>
      </c>
      <c r="H49" s="331">
        <f>12610532.32</f>
        <v>12610532.32</v>
      </c>
      <c r="I49" s="331">
        <f>191841.07</f>
        <v>191841.07</v>
      </c>
      <c r="J49" s="331">
        <f>10589284.92</f>
        <v>10589284.92</v>
      </c>
      <c r="K49" s="331">
        <f>30826744.37</f>
        <v>30826744.37</v>
      </c>
      <c r="L49" s="331">
        <f>2767866690.74</f>
        <v>2767866690.74</v>
      </c>
      <c r="M49" s="331">
        <f>692700296.54</f>
        <v>692700296.54</v>
      </c>
      <c r="N49" s="331">
        <f>112668941.65</f>
        <v>112668941.65</v>
      </c>
      <c r="O49" s="331">
        <f>1405845.26</f>
        <v>1405845.26</v>
      </c>
      <c r="P49" s="331">
        <f>1334936.65</f>
        <v>1334936.65</v>
      </c>
      <c r="Q49" s="331">
        <f>70908.61</f>
        <v>70908.61</v>
      </c>
    </row>
    <row r="50" spans="1:17" ht="18.75" customHeight="1">
      <c r="A50" s="488" t="s">
        <v>659</v>
      </c>
      <c r="B50" s="331">
        <f>295614544.19</f>
        <v>295614544.19</v>
      </c>
      <c r="C50" s="331">
        <f>295600387.22</f>
        <v>295600387.22</v>
      </c>
      <c r="D50" s="331">
        <f>35235755.32</f>
        <v>35235755.32</v>
      </c>
      <c r="E50" s="331">
        <f>605361.64</f>
        <v>605361.64</v>
      </c>
      <c r="F50" s="331">
        <f>533237.1</f>
        <v>533237.1</v>
      </c>
      <c r="G50" s="331">
        <f>33862778.15</f>
        <v>33862778.15</v>
      </c>
      <c r="H50" s="331">
        <f>234378.43</f>
        <v>234378.43</v>
      </c>
      <c r="I50" s="331">
        <f>4712.6</f>
        <v>4712.6</v>
      </c>
      <c r="J50" s="331">
        <f>50824.95</f>
        <v>50824.95</v>
      </c>
      <c r="K50" s="331">
        <f>1491967.56</f>
        <v>1491967.56</v>
      </c>
      <c r="L50" s="331">
        <f>121590505.02</f>
        <v>121590505.02</v>
      </c>
      <c r="M50" s="331">
        <f>133904305.26</f>
        <v>133904305.26</v>
      </c>
      <c r="N50" s="331">
        <f>3322316.51</f>
        <v>3322316.51</v>
      </c>
      <c r="O50" s="331">
        <f>14156.97</f>
        <v>14156.97</v>
      </c>
      <c r="P50" s="331">
        <f>12582.37</f>
        <v>12582.37</v>
      </c>
      <c r="Q50" s="331">
        <f>1574.6</f>
        <v>1574.6</v>
      </c>
    </row>
    <row r="51" spans="1:17" ht="30" customHeight="1">
      <c r="A51" s="488" t="s">
        <v>660</v>
      </c>
      <c r="B51" s="331">
        <f>2538459126.22</f>
        <v>2538459126.22</v>
      </c>
      <c r="C51" s="331">
        <f>2538054553.76</f>
        <v>2538054553.76</v>
      </c>
      <c r="D51" s="331">
        <f>183776892.32</f>
        <v>183776892.32</v>
      </c>
      <c r="E51" s="331">
        <f>138980276.04</f>
        <v>138980276.04</v>
      </c>
      <c r="F51" s="331">
        <f>9695582.92</f>
        <v>9695582.92</v>
      </c>
      <c r="G51" s="331">
        <f>33398088</f>
        <v>33398088</v>
      </c>
      <c r="H51" s="331">
        <f>1702945.36</f>
        <v>1702945.36</v>
      </c>
      <c r="I51" s="331">
        <f>136853.27</f>
        <v>136853.27</v>
      </c>
      <c r="J51" s="331">
        <f>9136616.16</f>
        <v>9136616.16</v>
      </c>
      <c r="K51" s="331">
        <f>28307198.18</f>
        <v>28307198.18</v>
      </c>
      <c r="L51" s="331">
        <f>1982946121.57</f>
        <v>1982946121.57</v>
      </c>
      <c r="M51" s="331">
        <f>329382165.63</f>
        <v>329382165.63</v>
      </c>
      <c r="N51" s="331">
        <f>4368706.63</f>
        <v>4368706.63</v>
      </c>
      <c r="O51" s="331">
        <f>404572.46</f>
        <v>404572.46</v>
      </c>
      <c r="P51" s="331">
        <f>359472.46</f>
        <v>359472.46</v>
      </c>
      <c r="Q51" s="331">
        <f>45100</f>
        <v>45100</v>
      </c>
    </row>
    <row r="52" spans="1:17" ht="22.5" customHeight="1" thickBot="1">
      <c r="A52" s="491" t="s">
        <v>661</v>
      </c>
      <c r="B52" s="331">
        <f>1209403202.93</f>
        <v>1209403202.93</v>
      </c>
      <c r="C52" s="331">
        <f>1208416087.1</f>
        <v>1208416087.1</v>
      </c>
      <c r="D52" s="331">
        <f>208214581.15</f>
        <v>208214581.15</v>
      </c>
      <c r="E52" s="331">
        <f>52211141.36</f>
        <v>52211141.36</v>
      </c>
      <c r="F52" s="331">
        <f>18446183.31</f>
        <v>18446183.31</v>
      </c>
      <c r="G52" s="331">
        <f>126884047.95</f>
        <v>126884047.95</v>
      </c>
      <c r="H52" s="331">
        <f>10673208.53</f>
        <v>10673208.53</v>
      </c>
      <c r="I52" s="331">
        <f>50275.2</f>
        <v>50275.2</v>
      </c>
      <c r="J52" s="331">
        <f>1401843.81</f>
        <v>1401843.81</v>
      </c>
      <c r="K52" s="331">
        <f>1027578.63</f>
        <v>1027578.63</v>
      </c>
      <c r="L52" s="331">
        <f>663330064.15</f>
        <v>663330064.15</v>
      </c>
      <c r="M52" s="331">
        <f>229413825.65</f>
        <v>229413825.65</v>
      </c>
      <c r="N52" s="331">
        <f>104977918.51</f>
        <v>104977918.51</v>
      </c>
      <c r="O52" s="331">
        <f>987115.83</f>
        <v>987115.83</v>
      </c>
      <c r="P52" s="331">
        <f>962881.82</f>
        <v>962881.82</v>
      </c>
      <c r="Q52" s="331">
        <f>24234.01</f>
        <v>24234.01</v>
      </c>
    </row>
    <row r="53" spans="1:17" ht="13.5" customHeight="1">
      <c r="A53" s="327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</row>
    <row r="54" spans="1:17" ht="13.5" customHeight="1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</row>
    <row r="55" spans="1:17" ht="13.5" customHeight="1">
      <c r="A55" s="327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</row>
    <row r="56" spans="1:17" ht="13.5" customHeight="1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</row>
    <row r="57" spans="1:17" ht="13.5" customHeight="1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</row>
    <row r="58" spans="1:17" ht="13.5" customHeight="1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</row>
    <row r="59" spans="1:17" ht="75" customHeight="1">
      <c r="A59" s="637" t="str">
        <f>CONCATENATE("Informacja z wykonania budżetów miast na prawach powiatu za  ",$C$97," ",$B$98," roku")</f>
        <v>Informacja z wykonania budżetów miast na prawach powiatu za  II Kwartały 2008 roku</v>
      </c>
      <c r="B59" s="637"/>
      <c r="C59" s="637"/>
      <c r="D59" s="637"/>
      <c r="E59" s="637"/>
      <c r="F59" s="637"/>
      <c r="G59" s="637"/>
      <c r="H59" s="637"/>
      <c r="I59" s="637"/>
      <c r="J59" s="637"/>
      <c r="K59" s="637"/>
      <c r="L59" s="637"/>
      <c r="M59" s="637"/>
      <c r="N59" s="327"/>
      <c r="O59" s="327"/>
      <c r="P59" s="327"/>
      <c r="Q59" s="327"/>
    </row>
    <row r="60" spans="1:17" ht="75" customHeight="1">
      <c r="A60" s="550" t="s">
        <v>693</v>
      </c>
      <c r="B60" s="331">
        <f>4043476873.34</f>
        <v>4043476873.34</v>
      </c>
      <c r="C60" s="331">
        <f>4042071028.08</f>
        <v>4042071028.08</v>
      </c>
      <c r="D60" s="331">
        <f>427227228.79</f>
        <v>427227228.79</v>
      </c>
      <c r="E60" s="331">
        <f>191796779.04</f>
        <v>191796779.04</v>
      </c>
      <c r="F60" s="298"/>
      <c r="G60" s="298"/>
      <c r="H60" s="298"/>
      <c r="I60" s="298"/>
      <c r="J60" s="298"/>
      <c r="K60" s="298"/>
      <c r="L60" s="298"/>
      <c r="M60" s="298"/>
      <c r="N60" s="327"/>
      <c r="O60" s="327"/>
      <c r="P60" s="327"/>
      <c r="Q60" s="327"/>
    </row>
    <row r="61" spans="1:17" ht="75" customHeight="1">
      <c r="A61" s="488" t="s">
        <v>659</v>
      </c>
      <c r="B61" s="331">
        <f>295614544.19</f>
        <v>295614544.19</v>
      </c>
      <c r="C61" s="331">
        <v>867834</v>
      </c>
      <c r="D61" s="331">
        <v>838310</v>
      </c>
      <c r="E61" s="331">
        <v>1134109</v>
      </c>
      <c r="F61" s="298"/>
      <c r="G61" s="298"/>
      <c r="H61" s="298"/>
      <c r="I61" s="298"/>
      <c r="J61" s="298"/>
      <c r="K61" s="298"/>
      <c r="L61" s="298"/>
      <c r="M61" s="298"/>
      <c r="N61" s="327"/>
      <c r="O61" s="327"/>
      <c r="P61" s="327"/>
      <c r="Q61" s="327"/>
    </row>
    <row r="62" spans="1:17" ht="75" customHeight="1">
      <c r="A62" s="488" t="s">
        <v>660</v>
      </c>
      <c r="B62" s="331">
        <f>2538459126.22</f>
        <v>2538459126.22</v>
      </c>
      <c r="C62" s="331">
        <v>94655</v>
      </c>
      <c r="D62" s="331">
        <v>100812</v>
      </c>
      <c r="E62" s="331">
        <v>141827</v>
      </c>
      <c r="F62" s="298"/>
      <c r="G62" s="298"/>
      <c r="H62" s="298"/>
      <c r="I62" s="298"/>
      <c r="J62" s="298"/>
      <c r="K62" s="298"/>
      <c r="L62" s="298"/>
      <c r="M62" s="298"/>
      <c r="N62" s="327"/>
      <c r="O62" s="327"/>
      <c r="P62" s="327"/>
      <c r="Q62" s="327"/>
    </row>
    <row r="63" spans="1:17" ht="75" customHeight="1" thickBot="1">
      <c r="A63" s="491" t="s">
        <v>661</v>
      </c>
      <c r="B63" s="331">
        <f>1209403202.93</f>
        <v>1209403202.93</v>
      </c>
      <c r="C63" s="331">
        <f>+C62-F63</f>
        <v>65351</v>
      </c>
      <c r="D63" s="331">
        <f>+D62-G63</f>
        <v>85401</v>
      </c>
      <c r="E63" s="331">
        <f>+E62-H63</f>
        <v>52052</v>
      </c>
      <c r="F63" s="553">
        <v>29304</v>
      </c>
      <c r="G63" s="553">
        <v>15411</v>
      </c>
      <c r="H63" s="553">
        <v>89775</v>
      </c>
      <c r="I63" s="298"/>
      <c r="J63" s="298"/>
      <c r="K63" s="298"/>
      <c r="L63" s="298"/>
      <c r="M63" s="298"/>
      <c r="N63" s="327"/>
      <c r="O63" s="327"/>
      <c r="P63" s="327"/>
      <c r="Q63" s="327"/>
    </row>
    <row r="64" spans="1:17" ht="75" customHeight="1">
      <c r="A64" s="327"/>
      <c r="B64" s="327"/>
      <c r="C64" s="327">
        <v>9048</v>
      </c>
      <c r="D64" s="327">
        <v>14091</v>
      </c>
      <c r="E64" s="327">
        <v>8915</v>
      </c>
      <c r="F64" s="298"/>
      <c r="G64" s="298"/>
      <c r="H64" s="298"/>
      <c r="I64" s="298"/>
      <c r="J64" s="298"/>
      <c r="K64" s="298"/>
      <c r="L64" s="298"/>
      <c r="M64" s="298"/>
      <c r="N64" s="327"/>
      <c r="O64" s="327"/>
      <c r="P64" s="327"/>
      <c r="Q64" s="327"/>
    </row>
    <row r="65" spans="1:17" ht="75" customHeight="1">
      <c r="A65" s="327"/>
      <c r="B65" s="327"/>
      <c r="C65" s="551">
        <v>5503</v>
      </c>
      <c r="D65" s="551">
        <v>4164</v>
      </c>
      <c r="E65" s="551">
        <v>4867</v>
      </c>
      <c r="F65" s="298"/>
      <c r="G65" s="298"/>
      <c r="H65" s="298"/>
      <c r="I65" s="298"/>
      <c r="J65" s="298"/>
      <c r="K65" s="298"/>
      <c r="L65" s="298"/>
      <c r="M65" s="298"/>
      <c r="N65" s="327"/>
      <c r="O65" s="327"/>
      <c r="P65" s="327"/>
      <c r="Q65" s="327"/>
    </row>
    <row r="66" spans="1:17" ht="75" customHeight="1">
      <c r="A66" s="327"/>
      <c r="B66" s="327"/>
      <c r="C66" s="551">
        <v>2942</v>
      </c>
      <c r="D66" s="551">
        <v>3550</v>
      </c>
      <c r="E66" s="551">
        <v>495</v>
      </c>
      <c r="F66" s="298"/>
      <c r="G66" s="298"/>
      <c r="H66" s="298"/>
      <c r="I66" s="298"/>
      <c r="J66" s="298"/>
      <c r="K66" s="298"/>
      <c r="L66" s="298"/>
      <c r="M66" s="298"/>
      <c r="N66" s="327"/>
      <c r="O66" s="327"/>
      <c r="P66" s="327"/>
      <c r="Q66" s="327"/>
    </row>
    <row r="67" spans="1:17" ht="75" customHeight="1">
      <c r="A67" s="327"/>
      <c r="B67" s="327"/>
      <c r="C67" s="327"/>
      <c r="D67" s="327"/>
      <c r="E67" s="327"/>
      <c r="F67" s="298"/>
      <c r="G67" s="298"/>
      <c r="H67" s="298"/>
      <c r="I67" s="298"/>
      <c r="J67" s="298"/>
      <c r="K67" s="298"/>
      <c r="L67" s="298"/>
      <c r="M67" s="298"/>
      <c r="N67" s="327"/>
      <c r="O67" s="327"/>
      <c r="P67" s="327"/>
      <c r="Q67" s="327"/>
    </row>
    <row r="68" spans="1:17" ht="75" customHeight="1">
      <c r="A68" s="327"/>
      <c r="B68" s="327"/>
      <c r="C68" s="327"/>
      <c r="D68" s="327"/>
      <c r="E68" s="327"/>
      <c r="F68" s="298"/>
      <c r="G68" s="298"/>
      <c r="H68" s="298"/>
      <c r="I68" s="298"/>
      <c r="J68" s="298"/>
      <c r="K68" s="298"/>
      <c r="L68" s="298"/>
      <c r="M68" s="298"/>
      <c r="N68" s="327"/>
      <c r="O68" s="327"/>
      <c r="P68" s="327"/>
      <c r="Q68" s="327"/>
    </row>
    <row r="69" spans="1:17" ht="75" customHeight="1">
      <c r="A69" s="327"/>
      <c r="B69" s="327"/>
      <c r="C69" s="327"/>
      <c r="D69" s="327"/>
      <c r="E69" s="327"/>
      <c r="F69" s="298"/>
      <c r="G69" s="298"/>
      <c r="H69" s="298"/>
      <c r="I69" s="298"/>
      <c r="J69" s="298"/>
      <c r="K69" s="298"/>
      <c r="L69" s="298"/>
      <c r="M69" s="298"/>
      <c r="N69" s="327"/>
      <c r="O69" s="327"/>
      <c r="P69" s="327"/>
      <c r="Q69" s="327"/>
    </row>
    <row r="70" spans="1:17" ht="75" customHeight="1">
      <c r="A70" s="637" t="str">
        <f>CONCATENATE("Informacja z wykonania budżetów miast na prawach powiatu za  ",$C$97," ",$B$98," roku")</f>
        <v>Informacja z wykonania budżetów miast na prawach powiatu za  II Kwartały 2008 roku</v>
      </c>
      <c r="B70" s="637"/>
      <c r="C70" s="637"/>
      <c r="D70" s="637"/>
      <c r="E70" s="637"/>
      <c r="F70" s="298"/>
      <c r="G70" s="298"/>
      <c r="H70" s="298"/>
      <c r="I70" s="298"/>
      <c r="J70" s="298"/>
      <c r="K70" s="298"/>
      <c r="L70" s="298"/>
      <c r="M70" s="298"/>
      <c r="N70" s="327"/>
      <c r="O70" s="327"/>
      <c r="P70" s="327"/>
      <c r="Q70" s="327"/>
    </row>
    <row r="71" spans="1:17" ht="7.5" customHeight="1">
      <c r="A71" s="298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327"/>
      <c r="O71" s="327"/>
      <c r="P71" s="327"/>
      <c r="Q71" s="327"/>
    </row>
    <row r="72" spans="1:17" ht="13.5" customHeight="1">
      <c r="A72" s="327"/>
      <c r="B72" s="639" t="s">
        <v>662</v>
      </c>
      <c r="C72" s="639"/>
      <c r="D72" s="639"/>
      <c r="E72" s="639"/>
      <c r="F72" s="639"/>
      <c r="G72" s="639"/>
      <c r="H72" s="639"/>
      <c r="I72" s="639"/>
      <c r="J72" s="639"/>
      <c r="K72" s="639"/>
      <c r="L72" s="639"/>
      <c r="M72" s="639"/>
      <c r="N72" s="327"/>
      <c r="O72" s="327"/>
      <c r="P72" s="327"/>
      <c r="Q72" s="327"/>
    </row>
    <row r="73" spans="1:17" ht="13.5" customHeight="1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</row>
    <row r="74" spans="1:17" ht="13.5" customHeight="1">
      <c r="A74" s="327"/>
      <c r="B74" s="622" t="s">
        <v>460</v>
      </c>
      <c r="C74" s="623"/>
      <c r="D74" s="623"/>
      <c r="E74" s="624"/>
      <c r="F74" s="703" t="s">
        <v>663</v>
      </c>
      <c r="G74" s="627" t="s">
        <v>664</v>
      </c>
      <c r="H74" s="617"/>
      <c r="I74" s="617"/>
      <c r="J74" s="617"/>
      <c r="K74" s="617"/>
      <c r="L74" s="618"/>
      <c r="M74" s="327"/>
      <c r="N74" s="327"/>
      <c r="O74" s="327"/>
      <c r="P74" s="327"/>
      <c r="Q74" s="327"/>
    </row>
    <row r="75" spans="1:17" ht="13.5" customHeight="1">
      <c r="A75" s="327"/>
      <c r="B75" s="625"/>
      <c r="C75" s="615"/>
      <c r="D75" s="615"/>
      <c r="E75" s="616"/>
      <c r="F75" s="704"/>
      <c r="G75" s="706" t="s">
        <v>665</v>
      </c>
      <c r="H75" s="650" t="s">
        <v>610</v>
      </c>
      <c r="I75" s="650" t="s">
        <v>611</v>
      </c>
      <c r="J75" s="650" t="s">
        <v>642</v>
      </c>
      <c r="K75" s="650" t="s">
        <v>666</v>
      </c>
      <c r="L75" s="651" t="s">
        <v>667</v>
      </c>
      <c r="M75" s="327"/>
      <c r="N75" s="327"/>
      <c r="O75" s="327"/>
      <c r="P75" s="327"/>
      <c r="Q75" s="327"/>
    </row>
    <row r="76" spans="1:17" ht="13.5" customHeight="1">
      <c r="A76" s="327"/>
      <c r="B76" s="625"/>
      <c r="C76" s="615"/>
      <c r="D76" s="615"/>
      <c r="E76" s="616"/>
      <c r="F76" s="704"/>
      <c r="G76" s="706"/>
      <c r="H76" s="650"/>
      <c r="I76" s="650"/>
      <c r="J76" s="650"/>
      <c r="K76" s="650"/>
      <c r="L76" s="651"/>
      <c r="M76" s="327"/>
      <c r="N76" s="327"/>
      <c r="O76" s="327"/>
      <c r="P76" s="327"/>
      <c r="Q76" s="327"/>
    </row>
    <row r="77" spans="1:17" ht="11.25" customHeight="1">
      <c r="A77" s="327"/>
      <c r="B77" s="625"/>
      <c r="C77" s="615"/>
      <c r="D77" s="615"/>
      <c r="E77" s="616"/>
      <c r="F77" s="704"/>
      <c r="G77" s="706"/>
      <c r="H77" s="650"/>
      <c r="I77" s="650"/>
      <c r="J77" s="650"/>
      <c r="K77" s="650"/>
      <c r="L77" s="651"/>
      <c r="M77" s="327"/>
      <c r="N77" s="327"/>
      <c r="O77" s="327"/>
      <c r="P77" s="327"/>
      <c r="Q77" s="327"/>
    </row>
    <row r="78" spans="1:17" ht="11.25" customHeight="1">
      <c r="A78" s="327"/>
      <c r="B78" s="700"/>
      <c r="C78" s="701"/>
      <c r="D78" s="701"/>
      <c r="E78" s="702"/>
      <c r="F78" s="705"/>
      <c r="G78" s="706"/>
      <c r="H78" s="650"/>
      <c r="I78" s="650"/>
      <c r="J78" s="650"/>
      <c r="K78" s="650"/>
      <c r="L78" s="651"/>
      <c r="M78" s="327"/>
      <c r="N78" s="327"/>
      <c r="O78" s="327"/>
      <c r="P78" s="327"/>
      <c r="Q78" s="327"/>
    </row>
    <row r="79" spans="1:17" ht="13.5" customHeight="1">
      <c r="A79" s="327"/>
      <c r="B79" s="650">
        <v>1</v>
      </c>
      <c r="C79" s="650"/>
      <c r="D79" s="650"/>
      <c r="E79" s="650"/>
      <c r="F79" s="332">
        <v>2</v>
      </c>
      <c r="G79" s="332">
        <v>3</v>
      </c>
      <c r="H79" s="332">
        <v>4</v>
      </c>
      <c r="I79" s="332">
        <v>5</v>
      </c>
      <c r="J79" s="332">
        <v>6</v>
      </c>
      <c r="K79" s="332">
        <v>7</v>
      </c>
      <c r="L79" s="333">
        <v>8</v>
      </c>
      <c r="M79" s="327"/>
      <c r="N79" s="327"/>
      <c r="O79" s="327"/>
      <c r="P79" s="327"/>
      <c r="Q79" s="327"/>
    </row>
    <row r="80" spans="1:17" ht="33.75" customHeight="1">
      <c r="A80" s="327"/>
      <c r="B80" s="619" t="s">
        <v>668</v>
      </c>
      <c r="C80" s="620"/>
      <c r="D80" s="620"/>
      <c r="E80" s="621"/>
      <c r="F80" s="330">
        <f>1071988338.71</f>
        <v>1071988338.71</v>
      </c>
      <c r="G80" s="330">
        <f>353491698.35</f>
        <v>353491698.35</v>
      </c>
      <c r="H80" s="330">
        <f>24959518.06</f>
        <v>24959518.06</v>
      </c>
      <c r="I80" s="330">
        <f>40747752.95</f>
        <v>40747752.95</v>
      </c>
      <c r="J80" s="330">
        <f>287784427.34</f>
        <v>287784427.34</v>
      </c>
      <c r="K80" s="330">
        <f>0</f>
        <v>0</v>
      </c>
      <c r="L80" s="330">
        <f>718496640.36</f>
        <v>718496640.36</v>
      </c>
      <c r="M80" s="327"/>
      <c r="N80" s="327"/>
      <c r="O80" s="327"/>
      <c r="P80" s="327"/>
      <c r="Q80" s="327"/>
    </row>
    <row r="81" spans="1:17" ht="33.75" customHeight="1">
      <c r="A81" s="327"/>
      <c r="B81" s="619" t="s">
        <v>669</v>
      </c>
      <c r="C81" s="620"/>
      <c r="D81" s="620"/>
      <c r="E81" s="621"/>
      <c r="F81" s="330">
        <f>0</f>
        <v>0</v>
      </c>
      <c r="G81" s="330">
        <f>0</f>
        <v>0</v>
      </c>
      <c r="H81" s="330">
        <f>0</f>
        <v>0</v>
      </c>
      <c r="I81" s="330">
        <f>0</f>
        <v>0</v>
      </c>
      <c r="J81" s="330">
        <f>0</f>
        <v>0</v>
      </c>
      <c r="K81" s="330">
        <f>0</f>
        <v>0</v>
      </c>
      <c r="L81" s="330">
        <f>0</f>
        <v>0</v>
      </c>
      <c r="M81" s="327"/>
      <c r="N81" s="327"/>
      <c r="O81" s="327"/>
      <c r="P81" s="327"/>
      <c r="Q81" s="327"/>
    </row>
    <row r="82" spans="1:17" ht="33.75" customHeight="1">
      <c r="A82" s="327"/>
      <c r="B82" s="619" t="s">
        <v>670</v>
      </c>
      <c r="C82" s="620"/>
      <c r="D82" s="620"/>
      <c r="E82" s="621"/>
      <c r="F82" s="330">
        <f>60388624.35</f>
        <v>60388624.35</v>
      </c>
      <c r="G82" s="330">
        <f>28148424.35</f>
        <v>28148424.35</v>
      </c>
      <c r="H82" s="330">
        <f>0</f>
        <v>0</v>
      </c>
      <c r="I82" s="330">
        <f>26336924.35</f>
        <v>26336924.35</v>
      </c>
      <c r="J82" s="330">
        <f>1811500</f>
        <v>1811500</v>
      </c>
      <c r="K82" s="330">
        <f>0</f>
        <v>0</v>
      </c>
      <c r="L82" s="330">
        <f>32240200</f>
        <v>32240200</v>
      </c>
      <c r="M82" s="327"/>
      <c r="N82" s="327"/>
      <c r="O82" s="327"/>
      <c r="P82" s="327"/>
      <c r="Q82" s="327"/>
    </row>
    <row r="83" spans="1:17" ht="22.5" customHeight="1">
      <c r="A83" s="327"/>
      <c r="B83" s="619" t="s">
        <v>671</v>
      </c>
      <c r="C83" s="620"/>
      <c r="D83" s="620"/>
      <c r="E83" s="621"/>
      <c r="F83" s="330">
        <f>7661134.88</f>
        <v>7661134.88</v>
      </c>
      <c r="G83" s="330">
        <f>6314060.03</f>
        <v>6314060.03</v>
      </c>
      <c r="H83" s="330">
        <f>0</f>
        <v>0</v>
      </c>
      <c r="I83" s="330">
        <f>0</f>
        <v>0</v>
      </c>
      <c r="J83" s="330">
        <f>6314060.03</f>
        <v>6314060.03</v>
      </c>
      <c r="K83" s="330">
        <f>0</f>
        <v>0</v>
      </c>
      <c r="L83" s="330">
        <f>1347074.85</f>
        <v>1347074.85</v>
      </c>
      <c r="M83" s="327"/>
      <c r="N83" s="327"/>
      <c r="O83" s="327"/>
      <c r="P83" s="327"/>
      <c r="Q83" s="327"/>
    </row>
    <row r="84" spans="1:17" ht="33.75" customHeight="1">
      <c r="A84" s="327"/>
      <c r="B84" s="619" t="s">
        <v>672</v>
      </c>
      <c r="C84" s="620"/>
      <c r="D84" s="620"/>
      <c r="E84" s="621"/>
      <c r="F84" s="330">
        <f>1181084.18</f>
        <v>1181084.18</v>
      </c>
      <c r="G84" s="330">
        <f>1119584.48</f>
        <v>1119584.48</v>
      </c>
      <c r="H84" s="330">
        <f>0</f>
        <v>0</v>
      </c>
      <c r="I84" s="330">
        <f>0</f>
        <v>0</v>
      </c>
      <c r="J84" s="330">
        <f>1119584.48</f>
        <v>1119584.48</v>
      </c>
      <c r="K84" s="330">
        <f>0</f>
        <v>0</v>
      </c>
      <c r="L84" s="330">
        <f>61499.7</f>
        <v>61499.7</v>
      </c>
      <c r="M84" s="327"/>
      <c r="N84" s="327"/>
      <c r="O84" s="327"/>
      <c r="P84" s="327"/>
      <c r="Q84" s="327"/>
    </row>
    <row r="85" spans="1:17" ht="33.75" customHeight="1">
      <c r="A85" s="327"/>
      <c r="B85" s="619" t="s">
        <v>673</v>
      </c>
      <c r="C85" s="620"/>
      <c r="D85" s="620"/>
      <c r="E85" s="621"/>
      <c r="F85" s="330">
        <f>3551935.86</f>
        <v>3551935.86</v>
      </c>
      <c r="G85" s="330">
        <f>1926578.19</f>
        <v>1926578.19</v>
      </c>
      <c r="H85" s="330">
        <f>48279.53</f>
        <v>48279.53</v>
      </c>
      <c r="I85" s="330">
        <f>0</f>
        <v>0</v>
      </c>
      <c r="J85" s="330">
        <f>1878298.66</f>
        <v>1878298.66</v>
      </c>
      <c r="K85" s="330">
        <f>0</f>
        <v>0</v>
      </c>
      <c r="L85" s="330">
        <f>1625357.67</f>
        <v>1625357.67</v>
      </c>
      <c r="M85" s="327"/>
      <c r="N85" s="327"/>
      <c r="O85" s="327"/>
      <c r="P85" s="327"/>
      <c r="Q85" s="327"/>
    </row>
    <row r="86" spans="1:17" ht="22.5" customHeight="1">
      <c r="A86" s="327"/>
      <c r="B86" s="619" t="s">
        <v>674</v>
      </c>
      <c r="C86" s="620"/>
      <c r="D86" s="620"/>
      <c r="E86" s="621"/>
      <c r="F86" s="330">
        <f>9631.2</f>
        <v>9631.2</v>
      </c>
      <c r="G86" s="330">
        <f>0</f>
        <v>0</v>
      </c>
      <c r="H86" s="330">
        <f>0</f>
        <v>0</v>
      </c>
      <c r="I86" s="330">
        <f>0</f>
        <v>0</v>
      </c>
      <c r="J86" s="330">
        <f>0</f>
        <v>0</v>
      </c>
      <c r="K86" s="330">
        <f>0</f>
        <v>0</v>
      </c>
      <c r="L86" s="330">
        <f>9631.2</f>
        <v>9631.2</v>
      </c>
      <c r="M86" s="327"/>
      <c r="N86" s="327"/>
      <c r="O86" s="327"/>
      <c r="P86" s="327"/>
      <c r="Q86" s="327"/>
    </row>
    <row r="87" spans="1:17" ht="13.5" customHeight="1">
      <c r="A87" s="327"/>
      <c r="B87" s="327"/>
      <c r="C87" s="327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</row>
    <row r="88" spans="1:17" ht="13.5" customHeight="1">
      <c r="A88" s="327"/>
      <c r="B88" s="327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</row>
    <row r="89" spans="1:17" ht="75" customHeight="1">
      <c r="A89" s="637" t="str">
        <f>CONCATENATE("Informacja z wykonania budżetów miast na prawach powiatu za  ",$C$97," ",$B$98," roku")</f>
        <v>Informacja z wykonania budżetów miast na prawach powiatu za  II Kwartały 2008 roku</v>
      </c>
      <c r="B89" s="637"/>
      <c r="C89" s="637"/>
      <c r="D89" s="637"/>
      <c r="E89" s="637"/>
      <c r="F89" s="637"/>
      <c r="G89" s="637"/>
      <c r="H89" s="637"/>
      <c r="I89" s="637"/>
      <c r="J89" s="637"/>
      <c r="K89" s="637"/>
      <c r="L89" s="637"/>
      <c r="M89" s="637"/>
      <c r="N89" s="327"/>
      <c r="O89" s="327"/>
      <c r="P89" s="327"/>
      <c r="Q89" s="327"/>
    </row>
    <row r="90" spans="1:17" ht="13.5" customHeight="1">
      <c r="A90" s="327"/>
      <c r="B90" s="323"/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</row>
    <row r="91" spans="1:17" ht="13.5" customHeight="1">
      <c r="A91" s="327"/>
      <c r="B91" s="324"/>
      <c r="C91" s="627"/>
      <c r="D91" s="617"/>
      <c r="E91" s="617"/>
      <c r="F91" s="618"/>
      <c r="G91" s="627" t="s">
        <v>461</v>
      </c>
      <c r="H91" s="618"/>
      <c r="I91" s="627" t="s">
        <v>675</v>
      </c>
      <c r="J91" s="618"/>
      <c r="K91" s="324"/>
      <c r="L91" s="327"/>
      <c r="M91" s="327"/>
      <c r="N91" s="327"/>
      <c r="O91" s="327"/>
      <c r="P91" s="327"/>
      <c r="Q91" s="327"/>
    </row>
    <row r="92" spans="1:17" ht="13.5" customHeight="1">
      <c r="A92" s="327"/>
      <c r="B92" s="325"/>
      <c r="C92" s="619" t="s">
        <v>676</v>
      </c>
      <c r="D92" s="620"/>
      <c r="E92" s="620"/>
      <c r="F92" s="621"/>
      <c r="G92" s="631">
        <f>59</f>
        <v>59</v>
      </c>
      <c r="H92" s="632"/>
      <c r="I92" s="633">
        <f>3451690277.83</f>
        <v>3451690277.83</v>
      </c>
      <c r="J92" s="626"/>
      <c r="K92" s="326"/>
      <c r="L92" s="327"/>
      <c r="M92" s="327"/>
      <c r="N92" s="327"/>
      <c r="O92" s="327"/>
      <c r="P92" s="327"/>
      <c r="Q92" s="327"/>
    </row>
    <row r="93" spans="1:17" ht="13.5" customHeight="1">
      <c r="A93" s="327"/>
      <c r="B93" s="325"/>
      <c r="C93" s="619" t="s">
        <v>677</v>
      </c>
      <c r="D93" s="620"/>
      <c r="E93" s="620"/>
      <c r="F93" s="621"/>
      <c r="G93" s="631">
        <f>6</f>
        <v>6</v>
      </c>
      <c r="H93" s="632"/>
      <c r="I93" s="633">
        <f>-54263249.28</f>
        <v>-54263249.28</v>
      </c>
      <c r="J93" s="626"/>
      <c r="K93" s="326"/>
      <c r="L93" s="327"/>
      <c r="M93" s="327"/>
      <c r="N93" s="327"/>
      <c r="O93" s="327"/>
      <c r="P93" s="327"/>
      <c r="Q93" s="327"/>
    </row>
    <row r="94" spans="1:17" ht="13.5" customHeight="1">
      <c r="A94" s="327"/>
      <c r="B94" s="325"/>
      <c r="C94" s="619" t="s">
        <v>678</v>
      </c>
      <c r="D94" s="620"/>
      <c r="E94" s="620"/>
      <c r="F94" s="621"/>
      <c r="G94" s="631">
        <f>0</f>
        <v>0</v>
      </c>
      <c r="H94" s="632"/>
      <c r="I94" s="633">
        <f>0</f>
        <v>0</v>
      </c>
      <c r="J94" s="626"/>
      <c r="K94" s="326"/>
      <c r="L94" s="327"/>
      <c r="M94" s="327"/>
      <c r="N94" s="327"/>
      <c r="O94" s="327"/>
      <c r="P94" s="327"/>
      <c r="Q94" s="327"/>
    </row>
    <row r="95" spans="1:17" ht="13.5" customHeight="1">
      <c r="A95" s="327"/>
      <c r="B95" s="327"/>
      <c r="C95" s="327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</row>
    <row r="96" spans="1:17" ht="13.5" customHeight="1">
      <c r="A96" s="327"/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</row>
    <row r="97" spans="1:17" ht="13.5" customHeight="1">
      <c r="A97" s="493" t="s">
        <v>586</v>
      </c>
      <c r="B97" s="493">
        <f>2</f>
        <v>2</v>
      </c>
      <c r="C97" s="493" t="str">
        <f>IF(B97=1,"I Kwartał",IF(B97=2,"II Kwartały",IF(B97=3,"III Kwartały",IF(B97=4,"IV Kwartały","-"))))</f>
        <v>II Kwartały</v>
      </c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</row>
    <row r="98" spans="1:17" ht="13.5" customHeight="1">
      <c r="A98" s="493" t="s">
        <v>587</v>
      </c>
      <c r="B98" s="493">
        <f>2008</f>
        <v>2008</v>
      </c>
      <c r="C98" s="494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</row>
    <row r="99" spans="1:17" ht="13.5" customHeight="1">
      <c r="A99" s="493" t="s">
        <v>588</v>
      </c>
      <c r="B99" s="495" t="str">
        <f>"Aug 18 2008 12:00AM"</f>
        <v>Aug 18 2008 12:00AM</v>
      </c>
      <c r="C99" s="494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</row>
  </sheetData>
  <mergeCells count="76">
    <mergeCell ref="L75:L78"/>
    <mergeCell ref="F30:F33"/>
    <mergeCell ref="G30:G33"/>
    <mergeCell ref="H30:H33"/>
    <mergeCell ref="K30:K33"/>
    <mergeCell ref="I30:I33"/>
    <mergeCell ref="J30:J33"/>
    <mergeCell ref="A29:A33"/>
    <mergeCell ref="C30:C33"/>
    <mergeCell ref="E30:E33"/>
    <mergeCell ref="K75:K78"/>
    <mergeCell ref="A70:E70"/>
    <mergeCell ref="Q7:Q11"/>
    <mergeCell ref="C29:N29"/>
    <mergeCell ref="L7:L11"/>
    <mergeCell ref="M7:M11"/>
    <mergeCell ref="N7:N11"/>
    <mergeCell ref="P7:P11"/>
    <mergeCell ref="A24:M24"/>
    <mergeCell ref="O29:Q29"/>
    <mergeCell ref="A27:M27"/>
    <mergeCell ref="B29:B33"/>
    <mergeCell ref="G7:G11"/>
    <mergeCell ref="F7:F11"/>
    <mergeCell ref="I7:I11"/>
    <mergeCell ref="J7:J11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B84:E84"/>
    <mergeCell ref="B81:E81"/>
    <mergeCell ref="M30:M33"/>
    <mergeCell ref="B80:E80"/>
    <mergeCell ref="F74:F78"/>
    <mergeCell ref="G75:G78"/>
    <mergeCell ref="G74:L74"/>
    <mergeCell ref="H75:H78"/>
    <mergeCell ref="I75:I78"/>
    <mergeCell ref="J75:J78"/>
    <mergeCell ref="G94:H94"/>
    <mergeCell ref="I94:J94"/>
    <mergeCell ref="C91:F91"/>
    <mergeCell ref="C92:F92"/>
    <mergeCell ref="C93:F93"/>
    <mergeCell ref="C94:F94"/>
    <mergeCell ref="G92:H92"/>
    <mergeCell ref="G91:H91"/>
    <mergeCell ref="G93:H93"/>
    <mergeCell ref="I93:J93"/>
    <mergeCell ref="B85:E85"/>
    <mergeCell ref="I92:J92"/>
    <mergeCell ref="B72:M72"/>
    <mergeCell ref="I91:J91"/>
    <mergeCell ref="B79:E79"/>
    <mergeCell ref="B74:E78"/>
    <mergeCell ref="B86:E86"/>
    <mergeCell ref="A89:M89"/>
    <mergeCell ref="B82:E82"/>
    <mergeCell ref="B83:E83"/>
    <mergeCell ref="O6:Q6"/>
    <mergeCell ref="O7:O11"/>
    <mergeCell ref="A59:M59"/>
    <mergeCell ref="L30:L33"/>
    <mergeCell ref="P30:P33"/>
    <mergeCell ref="Q30:Q33"/>
    <mergeCell ref="N30:N33"/>
    <mergeCell ref="O30:O33"/>
    <mergeCell ref="D30:D33"/>
    <mergeCell ref="H7:H11"/>
  </mergeCells>
  <printOptions/>
  <pageMargins left="0" right="0" top="0.1968503937007874" bottom="0.1968503937007874" header="0" footer="0"/>
  <pageSetup horizontalDpi="300" verticalDpi="300" orientation="landscape" paperSize="9" scale="70" r:id="rId1"/>
  <headerFooter alignWithMargins="0">
    <oddFooter>&amp;L&amp;D&amp;RStrona &amp;P z &amp;N</oddFooter>
  </headerFooter>
  <rowBreaks count="2" manualBreakCount="2">
    <brk id="23" max="255" man="1"/>
    <brk id="5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L66"/>
  <sheetViews>
    <sheetView showGridLines="0" workbookViewId="0" topLeftCell="A1">
      <selection activeCell="A24" sqref="A24:M24"/>
    </sheetView>
  </sheetViews>
  <sheetFormatPr defaultColWidth="9.140625" defaultRowHeight="12.75"/>
  <cols>
    <col min="1" max="1" width="3.7109375" style="1" customWidth="1"/>
    <col min="2" max="2" width="18.57421875" style="1" customWidth="1"/>
    <col min="3" max="3" width="10.140625" style="1" bestFit="1" customWidth="1"/>
    <col min="4" max="4" width="16.28125" style="1" customWidth="1"/>
    <col min="5" max="5" width="16.421875" style="1" bestFit="1" customWidth="1"/>
    <col min="6" max="6" width="16.140625" style="1" customWidth="1"/>
    <col min="7" max="7" width="15.421875" style="1" bestFit="1" customWidth="1"/>
    <col min="8" max="8" width="13.57421875" style="1" customWidth="1"/>
    <col min="9" max="9" width="12.28125" style="1" customWidth="1"/>
    <col min="10" max="10" width="12.8515625" style="1" customWidth="1"/>
    <col min="11" max="11" width="10.140625" style="1" bestFit="1" customWidth="1"/>
    <col min="12" max="12" width="4.57421875" style="1" bestFit="1" customWidth="1"/>
    <col min="13" max="16384" width="8.8515625" style="1" customWidth="1"/>
  </cols>
  <sheetData>
    <row r="2" spans="1:12" ht="12.75" customHeight="1">
      <c r="A2" s="818" t="s">
        <v>709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</row>
    <row r="3" spans="1:12" ht="21" customHeight="1">
      <c r="A3" s="818"/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</row>
    <row r="4" ht="13.5" thickBot="1">
      <c r="A4" s="2"/>
    </row>
    <row r="5" spans="1:12" ht="12.75" customHeight="1" thickBot="1">
      <c r="A5" s="749" t="s">
        <v>458</v>
      </c>
      <c r="B5" s="786" t="s">
        <v>1</v>
      </c>
      <c r="C5" s="786" t="s">
        <v>2</v>
      </c>
      <c r="D5" s="824" t="s">
        <v>479</v>
      </c>
      <c r="E5" s="786" t="s">
        <v>480</v>
      </c>
      <c r="F5" s="826" t="s">
        <v>481</v>
      </c>
      <c r="G5" s="828" t="s">
        <v>4</v>
      </c>
      <c r="H5" s="201" t="s">
        <v>5</v>
      </c>
      <c r="I5" s="786" t="s">
        <v>6</v>
      </c>
      <c r="J5" s="751" t="s">
        <v>7</v>
      </c>
      <c r="K5" s="822" t="s">
        <v>8</v>
      </c>
      <c r="L5" s="822" t="s">
        <v>9</v>
      </c>
    </row>
    <row r="6" spans="1:12" ht="28.5" customHeight="1" thickBot="1">
      <c r="A6" s="750"/>
      <c r="B6" s="787"/>
      <c r="C6" s="787"/>
      <c r="D6" s="825"/>
      <c r="E6" s="788"/>
      <c r="F6" s="827"/>
      <c r="G6" s="829"/>
      <c r="H6" s="202" t="s">
        <v>10</v>
      </c>
      <c r="I6" s="788"/>
      <c r="J6" s="821"/>
      <c r="K6" s="788"/>
      <c r="L6" s="788"/>
    </row>
    <row r="7" spans="1:12" ht="13.5" customHeight="1" thickBot="1">
      <c r="A7" s="750"/>
      <c r="B7" s="787"/>
      <c r="C7" s="788"/>
      <c r="D7" s="823" t="s">
        <v>11</v>
      </c>
      <c r="E7" s="823"/>
      <c r="F7" s="823"/>
      <c r="G7" s="823"/>
      <c r="H7" s="823"/>
      <c r="I7" s="823"/>
      <c r="J7" s="823"/>
      <c r="K7" s="816" t="s">
        <v>12</v>
      </c>
      <c r="L7" s="817"/>
    </row>
    <row r="8" spans="1:12" s="10" customFormat="1" ht="12" thickBot="1">
      <c r="A8" s="5">
        <v>1</v>
      </c>
      <c r="B8" s="6">
        <v>2</v>
      </c>
      <c r="C8" s="90">
        <v>3</v>
      </c>
      <c r="D8" s="184">
        <v>4</v>
      </c>
      <c r="E8" s="137">
        <v>5</v>
      </c>
      <c r="F8" s="7">
        <v>6</v>
      </c>
      <c r="G8" s="116">
        <v>7</v>
      </c>
      <c r="H8" s="95">
        <v>8</v>
      </c>
      <c r="I8" s="8">
        <v>9</v>
      </c>
      <c r="J8" s="9">
        <v>10</v>
      </c>
      <c r="K8" s="9">
        <v>11</v>
      </c>
      <c r="L8" s="6">
        <v>12</v>
      </c>
    </row>
    <row r="9" spans="1:12" ht="15" customHeight="1">
      <c r="A9" s="203" t="s">
        <v>13</v>
      </c>
      <c r="B9" s="204" t="s">
        <v>14</v>
      </c>
      <c r="C9" s="205">
        <v>2882317</v>
      </c>
      <c r="D9" s="206">
        <v>1303578870</v>
      </c>
      <c r="E9" s="207">
        <v>1547181787</v>
      </c>
      <c r="F9" s="172">
        <f aca="true" t="shared" si="0" ref="F9:F25">D9-E9</f>
        <v>-243602917</v>
      </c>
      <c r="G9" s="208">
        <v>136052600.89</v>
      </c>
      <c r="H9" s="209">
        <v>19947.51</v>
      </c>
      <c r="I9" s="54">
        <f aca="true" t="shared" si="1" ref="I9:I25">G9/C9</f>
        <v>47.20251134417206</v>
      </c>
      <c r="J9" s="55">
        <f aca="true" t="shared" si="2" ref="J9:J25">H9/C9</f>
        <v>0.006920650990158265</v>
      </c>
      <c r="K9" s="56">
        <f aca="true" t="shared" si="3" ref="K9:K25">G9/D9*100</f>
        <v>10.436852270396189</v>
      </c>
      <c r="L9" s="33">
        <f aca="true" t="shared" si="4" ref="L9:L25">H9/D9*100</f>
        <v>0.001530211210005268</v>
      </c>
    </row>
    <row r="10" spans="1:12" ht="15" customHeight="1">
      <c r="A10" s="210" t="s">
        <v>15</v>
      </c>
      <c r="B10" s="211" t="s">
        <v>16</v>
      </c>
      <c r="C10" s="212">
        <v>2066371</v>
      </c>
      <c r="D10" s="213">
        <v>1015297753</v>
      </c>
      <c r="E10" s="214">
        <v>1100297753</v>
      </c>
      <c r="F10" s="106">
        <f t="shared" si="0"/>
        <v>-85000000</v>
      </c>
      <c r="G10" s="215">
        <v>243232090.06</v>
      </c>
      <c r="H10" s="216">
        <v>54547.96</v>
      </c>
      <c r="I10" s="57">
        <f t="shared" si="1"/>
        <v>117.70978689693187</v>
      </c>
      <c r="J10" s="58">
        <f t="shared" si="2"/>
        <v>0.026397950803606903</v>
      </c>
      <c r="K10" s="56">
        <f t="shared" si="3"/>
        <v>23.95672494510091</v>
      </c>
      <c r="L10" s="33">
        <f t="shared" si="4"/>
        <v>0.005372607182358257</v>
      </c>
    </row>
    <row r="11" spans="1:12" ht="15" customHeight="1">
      <c r="A11" s="210" t="s">
        <v>17</v>
      </c>
      <c r="B11" s="211" t="s">
        <v>18</v>
      </c>
      <c r="C11" s="212">
        <v>2172766</v>
      </c>
      <c r="D11" s="213">
        <v>933451742.53</v>
      </c>
      <c r="E11" s="214">
        <v>994138125.7400001</v>
      </c>
      <c r="F11" s="106">
        <f t="shared" si="0"/>
        <v>-60686383.21000016</v>
      </c>
      <c r="G11" s="215">
        <v>119698261.03</v>
      </c>
      <c r="H11" s="216">
        <v>0.2</v>
      </c>
      <c r="I11" s="57">
        <f t="shared" si="1"/>
        <v>55.09026790275621</v>
      </c>
      <c r="J11" s="58">
        <f t="shared" si="2"/>
        <v>9.204856850668688E-08</v>
      </c>
      <c r="K11" s="56">
        <f t="shared" si="3"/>
        <v>12.823186842586354</v>
      </c>
      <c r="L11" s="33">
        <f t="shared" si="4"/>
        <v>2.142585319493067E-08</v>
      </c>
    </row>
    <row r="12" spans="1:12" ht="15" customHeight="1">
      <c r="A12" s="210" t="s">
        <v>19</v>
      </c>
      <c r="B12" s="211" t="s">
        <v>20</v>
      </c>
      <c r="C12" s="212">
        <v>1008520</v>
      </c>
      <c r="D12" s="213">
        <v>401883128</v>
      </c>
      <c r="E12" s="214">
        <v>435502944</v>
      </c>
      <c r="F12" s="106">
        <f t="shared" si="0"/>
        <v>-33619816</v>
      </c>
      <c r="G12" s="215">
        <v>151109005.19</v>
      </c>
      <c r="H12" s="216">
        <v>1609454.78</v>
      </c>
      <c r="I12" s="57">
        <f t="shared" si="1"/>
        <v>149.83243286201562</v>
      </c>
      <c r="J12" s="58">
        <f t="shared" si="2"/>
        <v>1.5958580692499902</v>
      </c>
      <c r="K12" s="56">
        <f t="shared" si="3"/>
        <v>37.60023615373074</v>
      </c>
      <c r="L12" s="33">
        <f t="shared" si="4"/>
        <v>0.4004783151782376</v>
      </c>
    </row>
    <row r="13" spans="1:12" ht="15" customHeight="1">
      <c r="A13" s="210" t="s">
        <v>21</v>
      </c>
      <c r="B13" s="211" t="s">
        <v>22</v>
      </c>
      <c r="C13" s="212">
        <v>2566198</v>
      </c>
      <c r="D13" s="213">
        <v>1188135222</v>
      </c>
      <c r="E13" s="214">
        <v>1237976610</v>
      </c>
      <c r="F13" s="106">
        <f t="shared" si="0"/>
        <v>-49841388</v>
      </c>
      <c r="G13" s="215">
        <v>17726874.53</v>
      </c>
      <c r="H13" s="216">
        <v>7552.19</v>
      </c>
      <c r="I13" s="57">
        <f t="shared" si="1"/>
        <v>6.907835845090675</v>
      </c>
      <c r="J13" s="58">
        <f t="shared" si="2"/>
        <v>0.002942949063166599</v>
      </c>
      <c r="K13" s="56">
        <f t="shared" si="3"/>
        <v>1.4919913324478484</v>
      </c>
      <c r="L13" s="33">
        <f t="shared" si="4"/>
        <v>0.0006356338790535408</v>
      </c>
    </row>
    <row r="14" spans="1:12" ht="15" customHeight="1">
      <c r="A14" s="210" t="s">
        <v>23</v>
      </c>
      <c r="B14" s="211" t="s">
        <v>24</v>
      </c>
      <c r="C14" s="212">
        <v>3271206</v>
      </c>
      <c r="D14" s="213">
        <v>1218161792</v>
      </c>
      <c r="E14" s="214">
        <v>1329364622</v>
      </c>
      <c r="F14" s="106">
        <f t="shared" si="0"/>
        <v>-111202830</v>
      </c>
      <c r="G14" s="215">
        <v>118619040.83</v>
      </c>
      <c r="H14" s="216">
        <v>169875.45</v>
      </c>
      <c r="I14" s="57">
        <f t="shared" si="1"/>
        <v>36.26156250324804</v>
      </c>
      <c r="J14" s="58">
        <f t="shared" si="2"/>
        <v>0.05193052653975323</v>
      </c>
      <c r="K14" s="56">
        <f t="shared" si="3"/>
        <v>9.737544028141706</v>
      </c>
      <c r="L14" s="33">
        <f t="shared" si="4"/>
        <v>0.013945228878102917</v>
      </c>
    </row>
    <row r="15" spans="1:12" ht="15" customHeight="1">
      <c r="A15" s="210" t="s">
        <v>25</v>
      </c>
      <c r="B15" s="211" t="s">
        <v>26</v>
      </c>
      <c r="C15" s="212">
        <v>5171702</v>
      </c>
      <c r="D15" s="213">
        <v>3104042897</v>
      </c>
      <c r="E15" s="214">
        <v>3818734894</v>
      </c>
      <c r="F15" s="106">
        <f t="shared" si="0"/>
        <v>-714691997</v>
      </c>
      <c r="G15" s="215">
        <v>357272833.15</v>
      </c>
      <c r="H15" s="216">
        <v>252425.61</v>
      </c>
      <c r="I15" s="57">
        <f t="shared" si="1"/>
        <v>69.08225438163296</v>
      </c>
      <c r="J15" s="58">
        <f t="shared" si="2"/>
        <v>0.04880900136937511</v>
      </c>
      <c r="K15" s="56">
        <f t="shared" si="3"/>
        <v>11.509919321517675</v>
      </c>
      <c r="L15" s="33">
        <f t="shared" si="4"/>
        <v>0.008132155977740021</v>
      </c>
    </row>
    <row r="16" spans="1:12" ht="15" customHeight="1">
      <c r="A16" s="210" t="s">
        <v>27</v>
      </c>
      <c r="B16" s="211" t="s">
        <v>28</v>
      </c>
      <c r="C16" s="212">
        <v>1041941</v>
      </c>
      <c r="D16" s="213">
        <v>443101626</v>
      </c>
      <c r="E16" s="214">
        <v>457228405</v>
      </c>
      <c r="F16" s="106">
        <f t="shared" si="0"/>
        <v>-14126779</v>
      </c>
      <c r="G16" s="215">
        <v>110224868.46</v>
      </c>
      <c r="H16" s="216">
        <v>53400.93</v>
      </c>
      <c r="I16" s="57">
        <f t="shared" si="1"/>
        <v>105.7880133903935</v>
      </c>
      <c r="J16" s="58">
        <f t="shared" si="2"/>
        <v>0.05125139523255155</v>
      </c>
      <c r="K16" s="56">
        <f t="shared" si="3"/>
        <v>24.87575355004452</v>
      </c>
      <c r="L16" s="33">
        <f t="shared" si="4"/>
        <v>0.012051621313617115</v>
      </c>
    </row>
    <row r="17" spans="1:12" ht="15" customHeight="1">
      <c r="A17" s="210" t="s">
        <v>29</v>
      </c>
      <c r="B17" s="211" t="s">
        <v>30</v>
      </c>
      <c r="C17" s="212">
        <v>2097564</v>
      </c>
      <c r="D17" s="213">
        <v>784877540</v>
      </c>
      <c r="E17" s="214">
        <v>773022979</v>
      </c>
      <c r="F17" s="106">
        <f t="shared" si="0"/>
        <v>11854561</v>
      </c>
      <c r="G17" s="215">
        <v>65535844.39</v>
      </c>
      <c r="H17" s="216">
        <v>0</v>
      </c>
      <c r="I17" s="57">
        <f t="shared" si="1"/>
        <v>31.24378774139907</v>
      </c>
      <c r="J17" s="58">
        <f t="shared" si="2"/>
        <v>0</v>
      </c>
      <c r="K17" s="56">
        <f t="shared" si="3"/>
        <v>8.349817780490953</v>
      </c>
      <c r="L17" s="33">
        <f t="shared" si="4"/>
        <v>0</v>
      </c>
    </row>
    <row r="18" spans="1:12" ht="15" customHeight="1">
      <c r="A18" s="210" t="s">
        <v>31</v>
      </c>
      <c r="B18" s="211" t="s">
        <v>32</v>
      </c>
      <c r="C18" s="212">
        <v>1196101</v>
      </c>
      <c r="D18" s="213">
        <v>586400857</v>
      </c>
      <c r="E18" s="214">
        <v>582808716</v>
      </c>
      <c r="F18" s="106">
        <f t="shared" si="0"/>
        <v>3592141</v>
      </c>
      <c r="G18" s="215">
        <v>57560207.84</v>
      </c>
      <c r="H18" s="216">
        <v>1248.88</v>
      </c>
      <c r="I18" s="57">
        <f t="shared" si="1"/>
        <v>48.1232001645346</v>
      </c>
      <c r="J18" s="58">
        <f t="shared" si="2"/>
        <v>0.0010441258723134586</v>
      </c>
      <c r="K18" s="56">
        <f t="shared" si="3"/>
        <v>9.815846473089312</v>
      </c>
      <c r="L18" s="33">
        <f t="shared" si="4"/>
        <v>0.00021297376787428535</v>
      </c>
    </row>
    <row r="19" spans="1:12" ht="15" customHeight="1">
      <c r="A19" s="210" t="s">
        <v>33</v>
      </c>
      <c r="B19" s="211" t="s">
        <v>34</v>
      </c>
      <c r="C19" s="212">
        <v>2203595</v>
      </c>
      <c r="D19" s="213">
        <v>1008854590</v>
      </c>
      <c r="E19" s="214">
        <v>1138614932</v>
      </c>
      <c r="F19" s="106">
        <f t="shared" si="0"/>
        <v>-129760342</v>
      </c>
      <c r="G19" s="215">
        <v>55949369.5</v>
      </c>
      <c r="H19" s="216">
        <v>0</v>
      </c>
      <c r="I19" s="57">
        <f t="shared" si="1"/>
        <v>25.390041954170343</v>
      </c>
      <c r="J19" s="58">
        <f t="shared" si="2"/>
        <v>0</v>
      </c>
      <c r="K19" s="56">
        <f t="shared" si="3"/>
        <v>5.5458308912486585</v>
      </c>
      <c r="L19" s="33">
        <f t="shared" si="4"/>
        <v>0</v>
      </c>
    </row>
    <row r="20" spans="1:12" ht="15" customHeight="1">
      <c r="A20" s="210" t="s">
        <v>35</v>
      </c>
      <c r="B20" s="211" t="s">
        <v>36</v>
      </c>
      <c r="C20" s="212">
        <v>4669137</v>
      </c>
      <c r="D20" s="213">
        <v>1783029322</v>
      </c>
      <c r="E20" s="214">
        <v>2126805526</v>
      </c>
      <c r="F20" s="106">
        <f t="shared" si="0"/>
        <v>-343776204</v>
      </c>
      <c r="G20" s="215">
        <v>235644.29</v>
      </c>
      <c r="H20" s="216">
        <v>235644.29</v>
      </c>
      <c r="I20" s="57">
        <f t="shared" si="1"/>
        <v>0.050468489144782004</v>
      </c>
      <c r="J20" s="58">
        <f t="shared" si="2"/>
        <v>0.050468489144782004</v>
      </c>
      <c r="K20" s="56">
        <f t="shared" si="3"/>
        <v>0.013215951476091317</v>
      </c>
      <c r="L20" s="33">
        <f t="shared" si="4"/>
        <v>0.013215951476091317</v>
      </c>
    </row>
    <row r="21" spans="1:12" ht="15" customHeight="1">
      <c r="A21" s="210" t="s">
        <v>37</v>
      </c>
      <c r="B21" s="211" t="s">
        <v>38</v>
      </c>
      <c r="C21" s="212">
        <v>1279838</v>
      </c>
      <c r="D21" s="213">
        <v>654459645.3099998</v>
      </c>
      <c r="E21" s="214">
        <v>676370062.5</v>
      </c>
      <c r="F21" s="106">
        <f t="shared" si="0"/>
        <v>-21910417.190000176</v>
      </c>
      <c r="G21" s="215">
        <v>21609599.9</v>
      </c>
      <c r="H21" s="216">
        <v>14525</v>
      </c>
      <c r="I21" s="57">
        <f t="shared" si="1"/>
        <v>16.884636883730597</v>
      </c>
      <c r="J21" s="58">
        <f t="shared" si="2"/>
        <v>0.01134909261953466</v>
      </c>
      <c r="K21" s="56">
        <f t="shared" si="3"/>
        <v>3.301899521973447</v>
      </c>
      <c r="L21" s="33">
        <f t="shared" si="4"/>
        <v>0.0022193881783375505</v>
      </c>
    </row>
    <row r="22" spans="1:12" ht="15" customHeight="1">
      <c r="A22" s="210" t="s">
        <v>39</v>
      </c>
      <c r="B22" s="211" t="s">
        <v>40</v>
      </c>
      <c r="C22" s="212">
        <v>1426883</v>
      </c>
      <c r="D22" s="213">
        <v>622404126</v>
      </c>
      <c r="E22" s="214">
        <v>652828560</v>
      </c>
      <c r="F22" s="106">
        <f t="shared" si="0"/>
        <v>-30424434</v>
      </c>
      <c r="G22" s="215">
        <v>137496455.78</v>
      </c>
      <c r="H22" s="216">
        <v>42781.01</v>
      </c>
      <c r="I22" s="57">
        <f t="shared" si="1"/>
        <v>96.36140859481822</v>
      </c>
      <c r="J22" s="58">
        <f t="shared" si="2"/>
        <v>0.029982142894687234</v>
      </c>
      <c r="K22" s="56">
        <f t="shared" si="3"/>
        <v>22.091186423143988</v>
      </c>
      <c r="L22" s="33">
        <f t="shared" si="4"/>
        <v>0.006873510025542473</v>
      </c>
    </row>
    <row r="23" spans="1:12" ht="15" customHeight="1">
      <c r="A23" s="210" t="s">
        <v>41</v>
      </c>
      <c r="B23" s="211" t="s">
        <v>42</v>
      </c>
      <c r="C23" s="212">
        <v>3378502</v>
      </c>
      <c r="D23" s="213">
        <v>1251703233</v>
      </c>
      <c r="E23" s="214">
        <v>1458637753</v>
      </c>
      <c r="F23" s="106">
        <f t="shared" si="0"/>
        <v>-206934520</v>
      </c>
      <c r="G23" s="215">
        <v>76357734.81</v>
      </c>
      <c r="H23" s="216">
        <v>19066.53</v>
      </c>
      <c r="I23" s="57">
        <f t="shared" si="1"/>
        <v>22.601062485681524</v>
      </c>
      <c r="J23" s="58">
        <f t="shared" si="2"/>
        <v>0.005643486373546619</v>
      </c>
      <c r="K23" s="56">
        <f t="shared" si="3"/>
        <v>6.10030659000463</v>
      </c>
      <c r="L23" s="33">
        <f t="shared" si="4"/>
        <v>0.0015232468445657516</v>
      </c>
    </row>
    <row r="24" spans="1:12" ht="15" customHeight="1" thickBot="1">
      <c r="A24" s="217" t="s">
        <v>43</v>
      </c>
      <c r="B24" s="218" t="s">
        <v>44</v>
      </c>
      <c r="C24" s="219">
        <v>1692838</v>
      </c>
      <c r="D24" s="220">
        <v>562872622</v>
      </c>
      <c r="E24" s="221">
        <v>604640988</v>
      </c>
      <c r="F24" s="106">
        <f t="shared" si="0"/>
        <v>-41768366</v>
      </c>
      <c r="G24" s="222">
        <v>38718351.27</v>
      </c>
      <c r="H24" s="223">
        <v>8708.52</v>
      </c>
      <c r="I24" s="59">
        <f t="shared" si="1"/>
        <v>22.871858541691527</v>
      </c>
      <c r="J24" s="60">
        <f t="shared" si="2"/>
        <v>0.005144331589909962</v>
      </c>
      <c r="K24" s="61">
        <f t="shared" si="3"/>
        <v>6.878705724294404</v>
      </c>
      <c r="L24" s="39">
        <f t="shared" si="4"/>
        <v>0.0015471564363988555</v>
      </c>
    </row>
    <row r="25" spans="1:12" ht="15" customHeight="1" thickBot="1">
      <c r="A25" s="819" t="s">
        <v>45</v>
      </c>
      <c r="B25" s="820"/>
      <c r="C25" s="183">
        <f>SUM(C9:C24)</f>
        <v>38125479</v>
      </c>
      <c r="D25" s="185">
        <f>SUM(D9:D24)</f>
        <v>16862254965.839998</v>
      </c>
      <c r="E25" s="186">
        <f>SUM(E9:E24)</f>
        <v>18934154657.239998</v>
      </c>
      <c r="F25" s="187">
        <f t="shared" si="0"/>
        <v>-2071899691.3999996</v>
      </c>
      <c r="G25" s="115">
        <f>SUM(G9:G24)</f>
        <v>1707398781.92</v>
      </c>
      <c r="H25" s="99">
        <f>SUM(H9:H24)</f>
        <v>2489178.8599999994</v>
      </c>
      <c r="I25" s="62">
        <f t="shared" si="1"/>
        <v>44.78366768637845</v>
      </c>
      <c r="J25" s="63">
        <f t="shared" si="2"/>
        <v>0.06528911702329036</v>
      </c>
      <c r="K25" s="224">
        <f t="shared" si="3"/>
        <v>10.125566155765606</v>
      </c>
      <c r="L25" s="225">
        <f t="shared" si="4"/>
        <v>0.014761838585898763</v>
      </c>
    </row>
    <row r="27" ht="12">
      <c r="A27" s="227" t="s">
        <v>708</v>
      </c>
    </row>
    <row r="28" ht="12">
      <c r="A28" s="226" t="s">
        <v>46</v>
      </c>
    </row>
    <row r="60" ht="12.75">
      <c r="A60" s="549" t="s">
        <v>693</v>
      </c>
    </row>
    <row r="61" spans="3:5" ht="12">
      <c r="C61" s="1">
        <v>867834</v>
      </c>
      <c r="D61" s="1">
        <v>838310</v>
      </c>
      <c r="E61" s="1">
        <v>1134109</v>
      </c>
    </row>
    <row r="62" spans="3:5" ht="12">
      <c r="C62" s="1">
        <v>94655</v>
      </c>
      <c r="D62" s="1">
        <v>100812</v>
      </c>
      <c r="E62" s="1">
        <v>141827</v>
      </c>
    </row>
    <row r="63" spans="3:8" ht="12">
      <c r="C63" s="556">
        <f>+C62-F63</f>
        <v>65351</v>
      </c>
      <c r="D63" s="556">
        <f>+D62-G63</f>
        <v>85401</v>
      </c>
      <c r="E63" s="556">
        <f>+E62-H63</f>
        <v>52052</v>
      </c>
      <c r="F63" s="554">
        <v>29304</v>
      </c>
      <c r="G63" s="554">
        <v>15411</v>
      </c>
      <c r="H63" s="554">
        <v>89775</v>
      </c>
    </row>
    <row r="64" spans="3:5" ht="12">
      <c r="C64" s="1">
        <v>9048</v>
      </c>
      <c r="D64" s="1">
        <v>14091</v>
      </c>
      <c r="E64" s="1">
        <v>8915</v>
      </c>
    </row>
    <row r="65" spans="3:5" ht="12">
      <c r="C65" s="1">
        <v>5503</v>
      </c>
      <c r="D65" s="1">
        <v>4164</v>
      </c>
      <c r="E65" s="1">
        <v>4867</v>
      </c>
    </row>
    <row r="66" spans="3:5" ht="12">
      <c r="C66" s="1">
        <v>2942</v>
      </c>
      <c r="D66" s="1">
        <v>3550</v>
      </c>
      <c r="E66" s="1">
        <v>495</v>
      </c>
    </row>
    <row r="71" ht="7.5" customHeight="1"/>
  </sheetData>
  <mergeCells count="15">
    <mergeCell ref="D7:J7"/>
    <mergeCell ref="D5:D6"/>
    <mergeCell ref="E5:E6"/>
    <mergeCell ref="F5:F6"/>
    <mergeCell ref="G5:G6"/>
    <mergeCell ref="K7:L7"/>
    <mergeCell ref="I5:I6"/>
    <mergeCell ref="A2:L3"/>
    <mergeCell ref="A25:B25"/>
    <mergeCell ref="J5:J6"/>
    <mergeCell ref="K5:K6"/>
    <mergeCell ref="A5:A7"/>
    <mergeCell ref="B5:B7"/>
    <mergeCell ref="C5:C7"/>
    <mergeCell ref="L5:L6"/>
  </mergeCells>
  <printOptions horizontalCentered="1"/>
  <pageMargins left="0.31496062992125984" right="0.15748031496062992" top="0.984251968503937" bottom="0.984251968503937" header="0.5118110236220472" footer="0.5118110236220472"/>
  <pageSetup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2"/>
  <dimension ref="A1:AA86"/>
  <sheetViews>
    <sheetView showGridLines="0" workbookViewId="0" topLeftCell="B1">
      <selection activeCell="A24" sqref="A24:M24"/>
    </sheetView>
  </sheetViews>
  <sheetFormatPr defaultColWidth="9.140625" defaultRowHeight="12.75"/>
  <cols>
    <col min="1" max="1" width="5.7109375" style="496" hidden="1" customWidth="1"/>
    <col min="2" max="2" width="22.8515625" style="496" customWidth="1"/>
    <col min="3" max="5" width="14.57421875" style="496" customWidth="1"/>
    <col min="6" max="6" width="13.8515625" style="496" customWidth="1"/>
    <col min="7" max="10" width="13.00390625" style="496" customWidth="1"/>
    <col min="11" max="11" width="7.421875" style="496" customWidth="1"/>
    <col min="12" max="12" width="7.28125" style="496" customWidth="1"/>
    <col min="13" max="13" width="8.140625" style="496" hidden="1" customWidth="1"/>
    <col min="14" max="16384" width="9.140625" style="496" customWidth="1"/>
  </cols>
  <sheetData>
    <row r="1" spans="2:13" ht="30.75" customHeight="1">
      <c r="B1" s="846" t="str">
        <f>CONCATENATE("Informacja z wykonania budżetów województw za ",$D$84," ",$C$85," roku")</f>
        <v>Informacja z wykonania budżetów województw za 2 kwartały 2008 roku</v>
      </c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</row>
    <row r="2" ht="12.75"/>
    <row r="3" spans="2:8" ht="66.75" customHeight="1">
      <c r="B3" s="831" t="s">
        <v>500</v>
      </c>
      <c r="C3" s="512" t="s">
        <v>589</v>
      </c>
      <c r="D3" s="512" t="s">
        <v>590</v>
      </c>
      <c r="E3" s="512" t="s">
        <v>591</v>
      </c>
      <c r="F3" s="513" t="s">
        <v>501</v>
      </c>
      <c r="G3" s="512" t="s">
        <v>502</v>
      </c>
      <c r="H3" s="512" t="s">
        <v>503</v>
      </c>
    </row>
    <row r="4" spans="2:8" ht="12.75">
      <c r="B4" s="831"/>
      <c r="C4" s="833"/>
      <c r="D4" s="833"/>
      <c r="E4" s="833"/>
      <c r="F4" s="833" t="s">
        <v>12</v>
      </c>
      <c r="G4" s="833"/>
      <c r="H4" s="833"/>
    </row>
    <row r="5" spans="2:8" ht="12.75">
      <c r="B5" s="513">
        <v>1</v>
      </c>
      <c r="C5" s="514">
        <v>2</v>
      </c>
      <c r="D5" s="514">
        <v>3</v>
      </c>
      <c r="E5" s="514">
        <v>4</v>
      </c>
      <c r="F5" s="514">
        <v>5</v>
      </c>
      <c r="G5" s="514">
        <v>6</v>
      </c>
      <c r="H5" s="514">
        <v>7</v>
      </c>
    </row>
    <row r="6" spans="2:27" ht="25.5" customHeight="1">
      <c r="B6" s="515" t="s">
        <v>504</v>
      </c>
      <c r="C6" s="516">
        <f>16862254965.84</f>
        <v>16862254965.84</v>
      </c>
      <c r="D6" s="516">
        <f>7308278173.2</f>
        <v>7308278173.2</v>
      </c>
      <c r="E6" s="516">
        <f>7338171903.86</f>
        <v>7338171903.86</v>
      </c>
      <c r="F6" s="497">
        <f aca="true" t="shared" si="0" ref="F6:F27">IF($D$6=0,"",100*$D6/$D$6)</f>
        <v>100</v>
      </c>
      <c r="G6" s="497">
        <f aca="true" t="shared" si="1" ref="G6:G27">IF(C6=0,"",100*D6/C6)</f>
        <v>43.3410489166799</v>
      </c>
      <c r="H6" s="497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</row>
    <row r="7" spans="2:27" ht="25.5" customHeight="1">
      <c r="B7" s="515" t="s">
        <v>505</v>
      </c>
      <c r="C7" s="516">
        <f>C6-C12-C23</f>
        <v>7035531082.52</v>
      </c>
      <c r="D7" s="516">
        <f>D6-D12-D23</f>
        <v>3631711049.2799997</v>
      </c>
      <c r="E7" s="516">
        <f>E6-E12-E23</f>
        <v>3689012406.9399996</v>
      </c>
      <c r="F7" s="497">
        <f t="shared" si="0"/>
        <v>49.69311461895026</v>
      </c>
      <c r="G7" s="497">
        <f t="shared" si="1"/>
        <v>51.619572235322806</v>
      </c>
      <c r="H7" s="497">
        <f>IF($D$7=0,"",100*$D7/$D$7)</f>
        <v>100.00000000000001</v>
      </c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</row>
    <row r="8" spans="2:27" ht="22.5" customHeight="1">
      <c r="B8" s="501" t="s">
        <v>506</v>
      </c>
      <c r="C8" s="502">
        <f>4761506791.07</f>
        <v>4761506791.07</v>
      </c>
      <c r="D8" s="502">
        <f>2463709198.63</f>
        <v>2463709198.63</v>
      </c>
      <c r="E8" s="502">
        <f>2511509705.69</f>
        <v>2511509705.69</v>
      </c>
      <c r="F8" s="498">
        <f t="shared" si="0"/>
        <v>33.711212685699415</v>
      </c>
      <c r="G8" s="498">
        <f t="shared" si="1"/>
        <v>51.74221746886049</v>
      </c>
      <c r="H8" s="498">
        <f>IF($D$7=0,"",100*$D8/$D$7)</f>
        <v>67.83880009172094</v>
      </c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</row>
    <row r="9" spans="2:27" ht="22.5" customHeight="1">
      <c r="B9" s="501" t="s">
        <v>507</v>
      </c>
      <c r="C9" s="502">
        <f>827531774</f>
        <v>827531774</v>
      </c>
      <c r="D9" s="502">
        <f>391670006</f>
        <v>391670006</v>
      </c>
      <c r="E9" s="502">
        <f>401344393</f>
        <v>401344393</v>
      </c>
      <c r="F9" s="498">
        <f t="shared" si="0"/>
        <v>5.359265160927824</v>
      </c>
      <c r="G9" s="498">
        <f t="shared" si="1"/>
        <v>47.329905425480376</v>
      </c>
      <c r="H9" s="498">
        <f>IF($D$7=0,"",100*$D9/$D$7)</f>
        <v>10.784723803333694</v>
      </c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</row>
    <row r="10" spans="2:27" ht="13.5" customHeight="1">
      <c r="B10" s="501" t="s">
        <v>518</v>
      </c>
      <c r="C10" s="502">
        <f>155854070</f>
        <v>155854070</v>
      </c>
      <c r="D10" s="517">
        <f>37885251.53</f>
        <v>37885251.53</v>
      </c>
      <c r="E10" s="502">
        <f>37885251.53</f>
        <v>37885251.53</v>
      </c>
      <c r="F10" s="498">
        <f t="shared" si="0"/>
        <v>0.5183881980427077</v>
      </c>
      <c r="G10" s="498">
        <f t="shared" si="1"/>
        <v>24.308156681439247</v>
      </c>
      <c r="H10" s="498">
        <f>IF($D$7=0,"",100*$D10/$D$7)</f>
        <v>1.0431791245482178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</row>
    <row r="11" spans="2:27" ht="13.5" customHeight="1">
      <c r="B11" s="501" t="s">
        <v>519</v>
      </c>
      <c r="C11" s="502">
        <f>C7-C8-C9-C10</f>
        <v>1290638447.4500008</v>
      </c>
      <c r="D11" s="502">
        <f>D7-D8-D9-D10</f>
        <v>738446593.1199996</v>
      </c>
      <c r="E11" s="502">
        <f>E7-E8-E9-E10</f>
        <v>738273056.7199996</v>
      </c>
      <c r="F11" s="498">
        <f t="shared" si="0"/>
        <v>10.104248574280305</v>
      </c>
      <c r="G11" s="498">
        <f t="shared" si="1"/>
        <v>57.21560477134376</v>
      </c>
      <c r="H11" s="498">
        <f>IF($D$7=0,"",100*$D11/$D$7)</f>
        <v>20.333296980397147</v>
      </c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</row>
    <row r="12" spans="2:27" ht="25.5" customHeight="1">
      <c r="B12" s="515" t="s">
        <v>520</v>
      </c>
      <c r="C12" s="516">
        <f>C13+C15+C17+C19+C21</f>
        <v>7559597493.32</v>
      </c>
      <c r="D12" s="516">
        <f>D13+D15+D17+D19+D21</f>
        <v>2471558086.92</v>
      </c>
      <c r="E12" s="516">
        <f>E13+E15+E17+E19+E21</f>
        <v>2471558086.92</v>
      </c>
      <c r="F12" s="497">
        <f t="shared" si="0"/>
        <v>33.81860991530656</v>
      </c>
      <c r="G12" s="497">
        <f t="shared" si="1"/>
        <v>32.694307985365356</v>
      </c>
      <c r="H12" s="500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</row>
    <row r="13" spans="2:27" ht="22.5" customHeight="1">
      <c r="B13" s="501" t="s">
        <v>522</v>
      </c>
      <c r="C13" s="502">
        <f>943257260</f>
        <v>943257260</v>
      </c>
      <c r="D13" s="502">
        <f>472527886.58</f>
        <v>472527886.58</v>
      </c>
      <c r="E13" s="502">
        <f>472527886.58</f>
        <v>472527886.58</v>
      </c>
      <c r="F13" s="498">
        <f t="shared" si="0"/>
        <v>6.465652721222284</v>
      </c>
      <c r="G13" s="498">
        <f t="shared" si="1"/>
        <v>50.09533524078044</v>
      </c>
      <c r="H13" s="500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</row>
    <row r="14" spans="2:27" ht="13.5" customHeight="1">
      <c r="B14" s="518" t="s">
        <v>523</v>
      </c>
      <c r="C14" s="502">
        <f>258122987</f>
        <v>258122987</v>
      </c>
      <c r="D14" s="502">
        <f>89523581.74</f>
        <v>89523581.74</v>
      </c>
      <c r="E14" s="502">
        <f>89523581.74</f>
        <v>89523581.74</v>
      </c>
      <c r="F14" s="498">
        <f t="shared" si="0"/>
        <v>1.2249613331398583</v>
      </c>
      <c r="G14" s="498">
        <f t="shared" si="1"/>
        <v>34.682529743079414</v>
      </c>
      <c r="H14" s="500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</row>
    <row r="15" spans="2:27" ht="13.5" customHeight="1">
      <c r="B15" s="501" t="s">
        <v>524</v>
      </c>
      <c r="C15" s="502">
        <f>6304728470.32</f>
        <v>6304728470.32</v>
      </c>
      <c r="D15" s="502">
        <f>1934630306.66</f>
        <v>1934630306.66</v>
      </c>
      <c r="E15" s="502">
        <f>1934630306.66</f>
        <v>1934630306.66</v>
      </c>
      <c r="F15" s="498">
        <f t="shared" si="0"/>
        <v>26.471766137124245</v>
      </c>
      <c r="G15" s="498">
        <f t="shared" si="1"/>
        <v>30.685386623189608</v>
      </c>
      <c r="H15" s="500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</row>
    <row r="16" spans="2:27" ht="13.5" customHeight="1">
      <c r="B16" s="518" t="s">
        <v>523</v>
      </c>
      <c r="C16" s="502">
        <f>3729848586.12</f>
        <v>3729848586.12</v>
      </c>
      <c r="D16" s="502">
        <f>805962241.99</f>
        <v>805962241.99</v>
      </c>
      <c r="E16" s="502">
        <f>805962241.99</f>
        <v>805962241.99</v>
      </c>
      <c r="F16" s="498">
        <f t="shared" si="0"/>
        <v>11.02807286325695</v>
      </c>
      <c r="G16" s="498">
        <f t="shared" si="1"/>
        <v>21.608443972477918</v>
      </c>
      <c r="H16" s="500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</row>
    <row r="17" spans="2:27" ht="33" customHeight="1">
      <c r="B17" s="501" t="s">
        <v>525</v>
      </c>
      <c r="C17" s="502">
        <f>83401942</f>
        <v>83401942</v>
      </c>
      <c r="D17" s="502">
        <f>6243246</f>
        <v>6243246</v>
      </c>
      <c r="E17" s="502">
        <f>6243246</f>
        <v>6243246</v>
      </c>
      <c r="F17" s="498">
        <f t="shared" si="0"/>
        <v>0.08542704385411119</v>
      </c>
      <c r="G17" s="498">
        <f t="shared" si="1"/>
        <v>7.4857321667641745</v>
      </c>
      <c r="H17" s="500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499"/>
    </row>
    <row r="18" spans="2:27" ht="13.5" customHeight="1">
      <c r="B18" s="518" t="s">
        <v>523</v>
      </c>
      <c r="C18" s="502">
        <f>76995512</f>
        <v>76995512</v>
      </c>
      <c r="D18" s="502">
        <f>3801287.06</f>
        <v>3801287.06</v>
      </c>
      <c r="E18" s="502">
        <f>3801287.06</f>
        <v>3801287.06</v>
      </c>
      <c r="F18" s="498">
        <f t="shared" si="0"/>
        <v>0.052013442426693646</v>
      </c>
      <c r="G18" s="498">
        <f t="shared" si="1"/>
        <v>4.937024199540358</v>
      </c>
      <c r="H18" s="500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</row>
    <row r="19" spans="2:27" ht="33" customHeight="1">
      <c r="B19" s="501" t="s">
        <v>526</v>
      </c>
      <c r="C19" s="502">
        <f>184421174</f>
        <v>184421174</v>
      </c>
      <c r="D19" s="502">
        <f>51201800</f>
        <v>51201800</v>
      </c>
      <c r="E19" s="502">
        <f>51201800</f>
        <v>51201800</v>
      </c>
      <c r="F19" s="498">
        <f t="shared" si="0"/>
        <v>0.7006000426716216</v>
      </c>
      <c r="G19" s="498">
        <f t="shared" si="1"/>
        <v>27.763514833714268</v>
      </c>
      <c r="H19" s="500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</row>
    <row r="20" spans="2:27" ht="13.5" customHeight="1">
      <c r="B20" s="518" t="s">
        <v>523</v>
      </c>
      <c r="C20" s="502">
        <f>161462638</f>
        <v>161462638</v>
      </c>
      <c r="D20" s="502">
        <f>38249873.76</f>
        <v>38249873.76</v>
      </c>
      <c r="E20" s="502">
        <f>38249873.76</f>
        <v>38249873.76</v>
      </c>
      <c r="F20" s="498">
        <f t="shared" si="0"/>
        <v>0.5233773654137186</v>
      </c>
      <c r="G20" s="498">
        <f t="shared" si="1"/>
        <v>23.689612800702537</v>
      </c>
      <c r="H20" s="500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</row>
    <row r="21" spans="2:27" ht="22.5" customHeight="1">
      <c r="B21" s="501" t="s">
        <v>527</v>
      </c>
      <c r="C21" s="502">
        <f>43788647</f>
        <v>43788647</v>
      </c>
      <c r="D21" s="502">
        <f>6954847.68</f>
        <v>6954847.68</v>
      </c>
      <c r="E21" s="502">
        <f>6954847.68</f>
        <v>6954847.68</v>
      </c>
      <c r="F21" s="498">
        <f t="shared" si="0"/>
        <v>0.09516397043429387</v>
      </c>
      <c r="G21" s="498">
        <f t="shared" si="1"/>
        <v>15.882764498295643</v>
      </c>
      <c r="H21" s="500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</row>
    <row r="22" spans="2:27" ht="13.5" customHeight="1">
      <c r="B22" s="518" t="s">
        <v>523</v>
      </c>
      <c r="C22" s="502">
        <f>33230787</f>
        <v>33230787</v>
      </c>
      <c r="D22" s="502">
        <f>4999567.86</f>
        <v>4999567.86</v>
      </c>
      <c r="E22" s="502">
        <f>4999567.86</f>
        <v>4999567.86</v>
      </c>
      <c r="F22" s="498">
        <f t="shared" si="0"/>
        <v>0.06840965466166557</v>
      </c>
      <c r="G22" s="498">
        <f t="shared" si="1"/>
        <v>15.044987830110676</v>
      </c>
      <c r="H22" s="500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</row>
    <row r="23" spans="2:8" s="499" customFormat="1" ht="25.5" customHeight="1">
      <c r="B23" s="515" t="s">
        <v>528</v>
      </c>
      <c r="C23" s="516">
        <f>C26+C24+C25+C27</f>
        <v>2267126390</v>
      </c>
      <c r="D23" s="516">
        <f>D26+D24+D25+D27</f>
        <v>1205009037</v>
      </c>
      <c r="E23" s="516">
        <f>E26+E24+E25+E27</f>
        <v>1177601410</v>
      </c>
      <c r="F23" s="497">
        <f t="shared" si="0"/>
        <v>16.488275465743186</v>
      </c>
      <c r="G23" s="497">
        <f t="shared" si="1"/>
        <v>53.151383280400175</v>
      </c>
      <c r="H23" s="500"/>
    </row>
    <row r="24" spans="2:27" ht="13.5" customHeight="1">
      <c r="B24" s="501" t="s">
        <v>530</v>
      </c>
      <c r="C24" s="502">
        <f>610004313</f>
        <v>610004313</v>
      </c>
      <c r="D24" s="502">
        <f>376448001</f>
        <v>376448001</v>
      </c>
      <c r="E24" s="502">
        <f>349040374</f>
        <v>349040374</v>
      </c>
      <c r="F24" s="498">
        <f t="shared" si="0"/>
        <v>5.150980738260112</v>
      </c>
      <c r="G24" s="498">
        <f t="shared" si="1"/>
        <v>61.71235071251046</v>
      </c>
      <c r="H24" s="500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</row>
    <row r="25" spans="2:27" ht="13.5" customHeight="1">
      <c r="B25" s="501" t="s">
        <v>533</v>
      </c>
      <c r="C25" s="502">
        <f>720651704</f>
        <v>720651704</v>
      </c>
      <c r="D25" s="502">
        <f>360325854</f>
        <v>360325854</v>
      </c>
      <c r="E25" s="502">
        <f>360325854</f>
        <v>360325854</v>
      </c>
      <c r="F25" s="498">
        <f t="shared" si="0"/>
        <v>4.930379570407456</v>
      </c>
      <c r="G25" s="498">
        <f t="shared" si="1"/>
        <v>50.000000277526574</v>
      </c>
      <c r="H25" s="500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</row>
    <row r="26" spans="2:27" ht="13.5" customHeight="1">
      <c r="B26" s="501" t="s">
        <v>529</v>
      </c>
      <c r="C26" s="502">
        <f>936470373</f>
        <v>936470373</v>
      </c>
      <c r="D26" s="502">
        <f>468235182</f>
        <v>468235182</v>
      </c>
      <c r="E26" s="502">
        <f>468235182</f>
        <v>468235182</v>
      </c>
      <c r="F26" s="498">
        <f t="shared" si="0"/>
        <v>6.40691515707562</v>
      </c>
      <c r="G26" s="498">
        <f t="shared" si="1"/>
        <v>49.999999519472254</v>
      </c>
      <c r="H26" s="500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</row>
    <row r="27" spans="2:8" s="499" customFormat="1" ht="22.5" customHeight="1">
      <c r="B27" s="501" t="s">
        <v>534</v>
      </c>
      <c r="C27" s="502">
        <f>0</f>
        <v>0</v>
      </c>
      <c r="D27" s="502">
        <f>0</f>
        <v>0</v>
      </c>
      <c r="E27" s="502">
        <f>0</f>
        <v>0</v>
      </c>
      <c r="F27" s="498">
        <f t="shared" si="0"/>
        <v>0</v>
      </c>
      <c r="G27" s="498">
        <f t="shared" si="1"/>
      </c>
      <c r="H27" s="500"/>
    </row>
    <row r="28" spans="1:13" s="499" customFormat="1" ht="13.5" customHeight="1">
      <c r="A28" s="503"/>
      <c r="B28" s="504"/>
      <c r="C28" s="505"/>
      <c r="D28" s="506"/>
      <c r="E28" s="506"/>
      <c r="F28" s="507"/>
      <c r="G28" s="507"/>
      <c r="H28" s="507"/>
      <c r="I28" s="507"/>
      <c r="J28" s="507"/>
      <c r="K28" s="508"/>
      <c r="L28" s="508"/>
      <c r="M28" s="509"/>
    </row>
    <row r="29" spans="2:27" ht="75" customHeight="1">
      <c r="B29" s="834" t="str">
        <f>CONCATENATE("Informacja z wykonania budżetów województw za ",$D$84," ",$C$85," roku")</f>
        <v>Informacja z wykonania budżetów województw za 2 kwartały 2008 roku</v>
      </c>
      <c r="C29" s="834"/>
      <c r="D29" s="834"/>
      <c r="E29" s="834"/>
      <c r="F29" s="834"/>
      <c r="G29" s="834"/>
      <c r="H29" s="834"/>
      <c r="I29" s="834"/>
      <c r="J29" s="834"/>
      <c r="K29" s="834"/>
      <c r="L29" s="834"/>
      <c r="M29" s="834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</row>
    <row r="30" spans="2:13" s="499" customFormat="1" ht="13.5" customHeight="1">
      <c r="B30" s="510"/>
      <c r="C30" s="505"/>
      <c r="D30" s="506"/>
      <c r="E30" s="506"/>
      <c r="F30" s="511"/>
      <c r="G30" s="511"/>
      <c r="H30" s="511"/>
      <c r="I30" s="511"/>
      <c r="J30" s="511"/>
      <c r="K30" s="508"/>
      <c r="L30" s="508"/>
      <c r="M30" s="509"/>
    </row>
    <row r="31" spans="2:27" ht="29.25" customHeight="1">
      <c r="B31" s="831" t="s">
        <v>500</v>
      </c>
      <c r="C31" s="832" t="s">
        <v>597</v>
      </c>
      <c r="D31" s="832" t="s">
        <v>598</v>
      </c>
      <c r="E31" s="832" t="s">
        <v>599</v>
      </c>
      <c r="F31" s="832" t="s">
        <v>535</v>
      </c>
      <c r="G31" s="832"/>
      <c r="H31" s="832"/>
      <c r="I31" s="832" t="s">
        <v>600</v>
      </c>
      <c r="J31" s="832"/>
      <c r="K31" s="832" t="s">
        <v>501</v>
      </c>
      <c r="L31" s="830" t="s">
        <v>536</v>
      </c>
      <c r="M31" s="499"/>
      <c r="N31" s="520"/>
      <c r="O31" s="520"/>
      <c r="P31" s="520"/>
      <c r="Q31" s="520"/>
      <c r="R31" s="520"/>
      <c r="S31" s="520"/>
      <c r="T31" s="520"/>
      <c r="U31" s="520"/>
      <c r="V31" s="520"/>
      <c r="W31" s="520"/>
      <c r="X31" s="520"/>
      <c r="Y31" s="520"/>
      <c r="Z31" s="520"/>
      <c r="AA31" s="520"/>
    </row>
    <row r="32" spans="2:27" ht="18" customHeight="1">
      <c r="B32" s="831"/>
      <c r="C32" s="832"/>
      <c r="D32" s="838"/>
      <c r="E32" s="832"/>
      <c r="F32" s="847" t="s">
        <v>601</v>
      </c>
      <c r="G32" s="848" t="s">
        <v>537</v>
      </c>
      <c r="H32" s="838"/>
      <c r="I32" s="832"/>
      <c r="J32" s="832"/>
      <c r="K32" s="832"/>
      <c r="L32" s="830"/>
      <c r="M32" s="521"/>
      <c r="N32" s="522"/>
      <c r="O32" s="520"/>
      <c r="P32" s="520"/>
      <c r="Q32" s="520"/>
      <c r="R32" s="520"/>
      <c r="S32" s="520"/>
      <c r="T32" s="520"/>
      <c r="U32" s="520"/>
      <c r="V32" s="520"/>
      <c r="W32" s="520"/>
      <c r="X32" s="520"/>
      <c r="Y32" s="520"/>
      <c r="Z32" s="520"/>
      <c r="AA32" s="520"/>
    </row>
    <row r="33" spans="2:27" ht="36" customHeight="1">
      <c r="B33" s="831"/>
      <c r="C33" s="832"/>
      <c r="D33" s="838"/>
      <c r="E33" s="832"/>
      <c r="F33" s="838"/>
      <c r="G33" s="519" t="s">
        <v>602</v>
      </c>
      <c r="H33" s="519" t="s">
        <v>603</v>
      </c>
      <c r="I33" s="832"/>
      <c r="J33" s="832"/>
      <c r="K33" s="832"/>
      <c r="L33" s="830"/>
      <c r="M33" s="521"/>
      <c r="N33" s="520"/>
      <c r="O33" s="520"/>
      <c r="P33" s="520"/>
      <c r="Q33" s="520"/>
      <c r="R33" s="520"/>
      <c r="S33" s="520"/>
      <c r="T33" s="520"/>
      <c r="U33" s="520"/>
      <c r="V33" s="520"/>
      <c r="W33" s="520"/>
      <c r="X33" s="520"/>
      <c r="Y33" s="520"/>
      <c r="Z33" s="520"/>
      <c r="AA33" s="520"/>
    </row>
    <row r="34" spans="2:27" ht="13.5" customHeight="1">
      <c r="B34" s="831"/>
      <c r="C34" s="833"/>
      <c r="D34" s="833"/>
      <c r="E34" s="833"/>
      <c r="F34" s="833"/>
      <c r="G34" s="833"/>
      <c r="H34" s="833"/>
      <c r="I34" s="833"/>
      <c r="J34" s="833"/>
      <c r="K34" s="833" t="s">
        <v>12</v>
      </c>
      <c r="L34" s="833"/>
      <c r="M34" s="499"/>
      <c r="N34" s="499"/>
      <c r="O34" s="520"/>
      <c r="P34" s="520"/>
      <c r="Q34" s="520"/>
      <c r="R34" s="520"/>
      <c r="S34" s="520"/>
      <c r="T34" s="520"/>
      <c r="U34" s="520"/>
      <c r="V34" s="520"/>
      <c r="W34" s="520"/>
      <c r="X34" s="520"/>
      <c r="Y34" s="520"/>
      <c r="Z34" s="520"/>
      <c r="AA34" s="520"/>
    </row>
    <row r="35" spans="2:27" ht="11.25" customHeight="1">
      <c r="B35" s="513">
        <v>1</v>
      </c>
      <c r="C35" s="514">
        <v>2</v>
      </c>
      <c r="D35" s="514">
        <v>3</v>
      </c>
      <c r="E35" s="514">
        <v>4</v>
      </c>
      <c r="F35" s="513">
        <v>5</v>
      </c>
      <c r="G35" s="513">
        <v>6</v>
      </c>
      <c r="H35" s="514">
        <v>7</v>
      </c>
      <c r="I35" s="838">
        <v>8</v>
      </c>
      <c r="J35" s="838"/>
      <c r="K35" s="513">
        <v>9</v>
      </c>
      <c r="L35" s="514">
        <v>10</v>
      </c>
      <c r="M35" s="499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</row>
    <row r="36" spans="2:27" ht="25.5" customHeight="1">
      <c r="B36" s="515" t="s">
        <v>538</v>
      </c>
      <c r="C36" s="523">
        <f>18934154657.24</f>
        <v>18934154657.24</v>
      </c>
      <c r="D36" s="523">
        <f>8371215537.89</f>
        <v>8371215537.89</v>
      </c>
      <c r="E36" s="523">
        <f>4343440518.01</f>
        <v>4343440518.01</v>
      </c>
      <c r="F36" s="523">
        <f>98913326.74</f>
        <v>98913326.74</v>
      </c>
      <c r="G36" s="523">
        <f>14473.98</f>
        <v>14473.98</v>
      </c>
      <c r="H36" s="523">
        <f>259504.06</f>
        <v>259504.06</v>
      </c>
      <c r="I36" s="840">
        <f>0</f>
        <v>0</v>
      </c>
      <c r="J36" s="840"/>
      <c r="K36" s="524">
        <f aca="true" t="shared" si="2" ref="K36:K46">IF($E$36=0,"",100*$E36/$E$36)</f>
        <v>100</v>
      </c>
      <c r="L36" s="524">
        <f aca="true" t="shared" si="3" ref="L36:L46">IF(C36=0,"",100*E36/C36)</f>
        <v>22.939711841580234</v>
      </c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</row>
    <row r="37" spans="2:27" ht="24" customHeight="1">
      <c r="B37" s="515" t="s">
        <v>539</v>
      </c>
      <c r="C37" s="525">
        <f>8744510051.3</f>
        <v>8744510051.3</v>
      </c>
      <c r="D37" s="525">
        <f>2860778541.75</f>
        <v>2860778541.75</v>
      </c>
      <c r="E37" s="525">
        <f>1009998535.4</f>
        <v>1009998535.4</v>
      </c>
      <c r="F37" s="525">
        <f>32079115.05</f>
        <v>32079115.05</v>
      </c>
      <c r="G37" s="525">
        <f>0</f>
        <v>0</v>
      </c>
      <c r="H37" s="525">
        <f>127594.78</f>
        <v>127594.78</v>
      </c>
      <c r="I37" s="849">
        <f>0</f>
        <v>0</v>
      </c>
      <c r="J37" s="849"/>
      <c r="K37" s="524">
        <f t="shared" si="2"/>
        <v>23.253421595439345</v>
      </c>
      <c r="L37" s="524">
        <f t="shared" si="3"/>
        <v>11.550087191561396</v>
      </c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</row>
    <row r="38" spans="2:27" ht="22.5" customHeight="1">
      <c r="B38" s="501" t="s">
        <v>540</v>
      </c>
      <c r="C38" s="502">
        <f>8522199934.3</f>
        <v>8522199934.3</v>
      </c>
      <c r="D38" s="502">
        <f>2767112779.75</f>
        <v>2767112779.75</v>
      </c>
      <c r="E38" s="502">
        <f>918332773.4</f>
        <v>918332773.4</v>
      </c>
      <c r="F38" s="502">
        <f>32079115.05</f>
        <v>32079115.05</v>
      </c>
      <c r="G38" s="502">
        <f>0</f>
        <v>0</v>
      </c>
      <c r="H38" s="502">
        <f>127594.78</f>
        <v>127594.78</v>
      </c>
      <c r="I38" s="850">
        <f>0</f>
        <v>0</v>
      </c>
      <c r="J38" s="850"/>
      <c r="K38" s="526">
        <f t="shared" si="2"/>
        <v>21.142980307711117</v>
      </c>
      <c r="L38" s="526">
        <f t="shared" si="3"/>
        <v>10.775771285345119</v>
      </c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</row>
    <row r="39" spans="2:27" ht="25.5" customHeight="1">
      <c r="B39" s="515" t="s">
        <v>541</v>
      </c>
      <c r="C39" s="525">
        <f aca="true" t="shared" si="4" ref="C39:I39">C36-C37</f>
        <v>10189644605.940002</v>
      </c>
      <c r="D39" s="525">
        <f t="shared" si="4"/>
        <v>5510436996.14</v>
      </c>
      <c r="E39" s="525">
        <f t="shared" si="4"/>
        <v>3333441982.61</v>
      </c>
      <c r="F39" s="525">
        <f t="shared" si="4"/>
        <v>66834211.69</v>
      </c>
      <c r="G39" s="525">
        <f t="shared" si="4"/>
        <v>14473.98</v>
      </c>
      <c r="H39" s="525">
        <f t="shared" si="4"/>
        <v>131909.28</v>
      </c>
      <c r="I39" s="849">
        <f t="shared" si="4"/>
        <v>0</v>
      </c>
      <c r="J39" s="849"/>
      <c r="K39" s="524">
        <f t="shared" si="2"/>
        <v>76.74657840456065</v>
      </c>
      <c r="L39" s="524">
        <f t="shared" si="3"/>
        <v>32.714016155841065</v>
      </c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</row>
    <row r="40" spans="2:27" ht="13.5" customHeight="1">
      <c r="B40" s="501" t="s">
        <v>542</v>
      </c>
      <c r="C40" s="502">
        <f>1526053993.63</f>
        <v>1526053993.63</v>
      </c>
      <c r="D40" s="502">
        <f>1257044772.48</f>
        <v>1257044772.48</v>
      </c>
      <c r="E40" s="502">
        <f>656595773.11</f>
        <v>656595773.11</v>
      </c>
      <c r="F40" s="502">
        <f>18274320.8</f>
        <v>18274320.8</v>
      </c>
      <c r="G40" s="502">
        <f>2817.28</f>
        <v>2817.28</v>
      </c>
      <c r="H40" s="502">
        <f>212.03</f>
        <v>212.03</v>
      </c>
      <c r="I40" s="850">
        <f>0</f>
        <v>0</v>
      </c>
      <c r="J40" s="850"/>
      <c r="K40" s="526">
        <f t="shared" si="2"/>
        <v>15.116950960590737</v>
      </c>
      <c r="L40" s="526">
        <f t="shared" si="3"/>
        <v>43.02572358846663</v>
      </c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</row>
    <row r="41" spans="2:27" ht="22.5" customHeight="1">
      <c r="B41" s="518" t="s">
        <v>543</v>
      </c>
      <c r="C41" s="527">
        <f>1396082383.69</f>
        <v>1396082383.69</v>
      </c>
      <c r="D41" s="527">
        <f>1165148374.57</f>
        <v>1165148374.57</v>
      </c>
      <c r="E41" s="527">
        <f>571417120.41</f>
        <v>571417120.41</v>
      </c>
      <c r="F41" s="527">
        <f>17950052.03</f>
        <v>17950052.03</v>
      </c>
      <c r="G41" s="527">
        <f>160.47</f>
        <v>160.47</v>
      </c>
      <c r="H41" s="527">
        <f>0</f>
        <v>0</v>
      </c>
      <c r="I41" s="851">
        <f>0</f>
        <v>0</v>
      </c>
      <c r="J41" s="851"/>
      <c r="K41" s="526">
        <f t="shared" si="2"/>
        <v>13.155863837449342</v>
      </c>
      <c r="L41" s="526">
        <f t="shared" si="3"/>
        <v>40.93004303225153</v>
      </c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</row>
    <row r="42" spans="2:27" ht="13.5" customHeight="1">
      <c r="B42" s="501" t="s">
        <v>544</v>
      </c>
      <c r="C42" s="502">
        <f>275062362.63</f>
        <v>275062362.63</v>
      </c>
      <c r="D42" s="502">
        <f>220295612.44</f>
        <v>220295612.44</v>
      </c>
      <c r="E42" s="502">
        <f>106864708.13</f>
        <v>106864708.13</v>
      </c>
      <c r="F42" s="502">
        <f>9690503.43</f>
        <v>9690503.43</v>
      </c>
      <c r="G42" s="502">
        <f>0</f>
        <v>0</v>
      </c>
      <c r="H42" s="502">
        <f>0</f>
        <v>0</v>
      </c>
      <c r="I42" s="850">
        <f>0</f>
        <v>0</v>
      </c>
      <c r="J42" s="850"/>
      <c r="K42" s="526">
        <f t="shared" si="2"/>
        <v>2.4603700151271175</v>
      </c>
      <c r="L42" s="526">
        <f t="shared" si="3"/>
        <v>38.85108348093011</v>
      </c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</row>
    <row r="43" spans="2:27" ht="13.5" customHeight="1">
      <c r="B43" s="501" t="s">
        <v>545</v>
      </c>
      <c r="C43" s="527">
        <f>4759907149.18</f>
        <v>4759907149.18</v>
      </c>
      <c r="D43" s="527">
        <f>2327648273.42</f>
        <v>2327648273.42</v>
      </c>
      <c r="E43" s="527">
        <f>1437782838.69</f>
        <v>1437782838.69</v>
      </c>
      <c r="F43" s="527">
        <f>234968.69</f>
        <v>234968.69</v>
      </c>
      <c r="G43" s="527">
        <f>0</f>
        <v>0</v>
      </c>
      <c r="H43" s="527">
        <f>0</f>
        <v>0</v>
      </c>
      <c r="I43" s="851">
        <f>0</f>
        <v>0</v>
      </c>
      <c r="J43" s="851"/>
      <c r="K43" s="526">
        <f t="shared" si="2"/>
        <v>33.10239504209298</v>
      </c>
      <c r="L43" s="526">
        <f t="shared" si="3"/>
        <v>30.20611103596191</v>
      </c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</row>
    <row r="44" spans="2:27" ht="13.5" customHeight="1">
      <c r="B44" s="501" t="s">
        <v>546</v>
      </c>
      <c r="C44" s="502">
        <f>110438274</f>
        <v>110438274</v>
      </c>
      <c r="D44" s="502">
        <f>40617960.02</f>
        <v>40617960.02</v>
      </c>
      <c r="E44" s="502">
        <f>31969352.69</f>
        <v>31969352.69</v>
      </c>
      <c r="F44" s="502">
        <f>1241839.76</f>
        <v>1241839.76</v>
      </c>
      <c r="G44" s="502">
        <f>0</f>
        <v>0</v>
      </c>
      <c r="H44" s="502">
        <f>0</f>
        <v>0</v>
      </c>
      <c r="I44" s="850">
        <f>0</f>
        <v>0</v>
      </c>
      <c r="J44" s="850"/>
      <c r="K44" s="526">
        <f t="shared" si="2"/>
        <v>0.7360375388459826</v>
      </c>
      <c r="L44" s="526">
        <f t="shared" si="3"/>
        <v>28.94771127082265</v>
      </c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</row>
    <row r="45" spans="2:27" ht="22.5" customHeight="1">
      <c r="B45" s="501" t="s">
        <v>547</v>
      </c>
      <c r="C45" s="527">
        <f>123805931.48</f>
        <v>123805931.48</v>
      </c>
      <c r="D45" s="527">
        <f>21117087.39</f>
        <v>21117087.39</v>
      </c>
      <c r="E45" s="527">
        <f>2407927.69</f>
        <v>2407927.69</v>
      </c>
      <c r="F45" s="527">
        <f>0</f>
        <v>0</v>
      </c>
      <c r="G45" s="527">
        <f>0</f>
        <v>0</v>
      </c>
      <c r="H45" s="527">
        <f>0</f>
        <v>0</v>
      </c>
      <c r="I45" s="851">
        <f>0</f>
        <v>0</v>
      </c>
      <c r="J45" s="851"/>
      <c r="K45" s="526">
        <f t="shared" si="2"/>
        <v>0.055438256377992746</v>
      </c>
      <c r="L45" s="526">
        <f t="shared" si="3"/>
        <v>1.9449211045183115</v>
      </c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</row>
    <row r="46" spans="2:27" ht="13.5" customHeight="1">
      <c r="B46" s="501" t="s">
        <v>548</v>
      </c>
      <c r="C46" s="502">
        <f aca="true" t="shared" si="5" ref="C46:I46">C39-C40-C42-C43-C44-C45</f>
        <v>3394376895.020001</v>
      </c>
      <c r="D46" s="502">
        <f t="shared" si="5"/>
        <v>1643713290.39</v>
      </c>
      <c r="E46" s="502">
        <f t="shared" si="5"/>
        <v>1097821382.2999997</v>
      </c>
      <c r="F46" s="502">
        <f t="shared" si="5"/>
        <v>37392579.010000005</v>
      </c>
      <c r="G46" s="502">
        <f t="shared" si="5"/>
        <v>11656.699999999999</v>
      </c>
      <c r="H46" s="502">
        <f t="shared" si="5"/>
        <v>131697.25</v>
      </c>
      <c r="I46" s="850">
        <f t="shared" si="5"/>
        <v>0</v>
      </c>
      <c r="J46" s="850">
        <f>J39-J40-J42-J43-J44</f>
        <v>0</v>
      </c>
      <c r="K46" s="526">
        <f t="shared" si="2"/>
        <v>25.27538659152583</v>
      </c>
      <c r="L46" s="526">
        <f t="shared" si="3"/>
        <v>32.34235372950625</v>
      </c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</row>
    <row r="47" spans="2:27" ht="24" customHeight="1">
      <c r="B47" s="515" t="s">
        <v>549</v>
      </c>
      <c r="C47" s="525">
        <f>C6-C36</f>
        <v>-2071899691.4000015</v>
      </c>
      <c r="D47" s="525"/>
      <c r="E47" s="525">
        <f>D6-E36</f>
        <v>2964837655.1899996</v>
      </c>
      <c r="F47" s="525"/>
      <c r="G47" s="525"/>
      <c r="H47" s="525"/>
      <c r="I47" s="849"/>
      <c r="J47" s="849"/>
      <c r="K47" s="528"/>
      <c r="L47" s="528"/>
      <c r="M47" s="52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</row>
    <row r="48" spans="2:27" ht="12" customHeight="1">
      <c r="B48" s="530"/>
      <c r="C48" s="531"/>
      <c r="D48" s="531"/>
      <c r="E48" s="531"/>
      <c r="F48" s="509"/>
      <c r="G48" s="509"/>
      <c r="H48" s="509"/>
      <c r="I48" s="509"/>
      <c r="J48" s="499"/>
      <c r="K48" s="499"/>
      <c r="L48" s="520"/>
      <c r="M48" s="520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</row>
    <row r="49" spans="2:27" ht="12" customHeight="1">
      <c r="B49" s="530"/>
      <c r="C49" s="531"/>
      <c r="D49" s="531"/>
      <c r="E49" s="531"/>
      <c r="F49" s="509"/>
      <c r="G49" s="509"/>
      <c r="H49" s="509"/>
      <c r="I49" s="509"/>
      <c r="J49" s="499"/>
      <c r="K49" s="499"/>
      <c r="L49" s="520"/>
      <c r="M49" s="520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499"/>
      <c r="AA49" s="499"/>
    </row>
    <row r="50" spans="2:27" ht="12" customHeight="1">
      <c r="B50" s="530"/>
      <c r="C50" s="531"/>
      <c r="D50" s="531"/>
      <c r="E50" s="531"/>
      <c r="F50" s="509"/>
      <c r="G50" s="509"/>
      <c r="H50" s="509"/>
      <c r="I50" s="509"/>
      <c r="J50" s="499"/>
      <c r="K50" s="499"/>
      <c r="L50" s="520"/>
      <c r="M50" s="520"/>
      <c r="N50" s="499"/>
      <c r="O50" s="499"/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499"/>
    </row>
    <row r="51" spans="2:27" ht="12" customHeight="1">
      <c r="B51" s="530"/>
      <c r="C51" s="531"/>
      <c r="D51" s="531"/>
      <c r="E51" s="531"/>
      <c r="F51" s="509"/>
      <c r="G51" s="509"/>
      <c r="H51" s="509"/>
      <c r="I51" s="509"/>
      <c r="J51" s="499"/>
      <c r="K51" s="499"/>
      <c r="L51" s="520"/>
      <c r="M51" s="520"/>
      <c r="N51" s="499"/>
      <c r="O51" s="499"/>
      <c r="P51" s="499"/>
      <c r="Q51" s="499"/>
      <c r="R51" s="499"/>
      <c r="S51" s="499"/>
      <c r="T51" s="499"/>
      <c r="U51" s="499"/>
      <c r="V51" s="499"/>
      <c r="W51" s="499"/>
      <c r="X51" s="499"/>
      <c r="Y51" s="499"/>
      <c r="Z51" s="499"/>
      <c r="AA51" s="499"/>
    </row>
    <row r="52" spans="2:27" ht="12.75">
      <c r="B52" s="499"/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  <c r="W52" s="499"/>
      <c r="X52" s="499"/>
      <c r="Y52" s="499"/>
      <c r="Z52" s="499"/>
      <c r="AA52" s="499"/>
    </row>
    <row r="53" spans="2:27" ht="12.75"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499"/>
      <c r="V53" s="499"/>
      <c r="W53" s="499"/>
      <c r="X53" s="499"/>
      <c r="Y53" s="499"/>
      <c r="Z53" s="499"/>
      <c r="AA53" s="499"/>
    </row>
    <row r="54" spans="2:27" ht="75" customHeight="1">
      <c r="B54" s="834" t="str">
        <f>CONCATENATE("Informacja z wykonania budżetów województw za ",$D$84," ",$C$85," roku")</f>
        <v>Informacja z wykonania budżetów województw za 2 kwartały 2008 roku</v>
      </c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499"/>
      <c r="O54" s="499"/>
      <c r="P54" s="499"/>
      <c r="Q54" s="499"/>
      <c r="R54" s="499"/>
      <c r="S54" s="499"/>
      <c r="T54" s="499"/>
      <c r="U54" s="499"/>
      <c r="V54" s="499"/>
      <c r="W54" s="499"/>
      <c r="X54" s="499"/>
      <c r="Y54" s="499"/>
      <c r="Z54" s="499"/>
      <c r="AA54" s="499"/>
    </row>
    <row r="55" spans="2:27" ht="12.75">
      <c r="B55" s="499"/>
      <c r="C55" s="499"/>
      <c r="D55" s="499"/>
      <c r="E55" s="499"/>
      <c r="F55" s="499"/>
      <c r="G55" s="499"/>
      <c r="H55" s="499"/>
      <c r="I55" s="499"/>
      <c r="J55" s="499"/>
      <c r="K55" s="499"/>
      <c r="L55" s="499"/>
      <c r="M55" s="499"/>
      <c r="N55" s="499"/>
      <c r="O55" s="499"/>
      <c r="P55" s="499"/>
      <c r="Q55" s="499"/>
      <c r="R55" s="499"/>
      <c r="S55" s="499"/>
      <c r="T55" s="499"/>
      <c r="U55" s="499"/>
      <c r="V55" s="499"/>
      <c r="W55" s="499"/>
      <c r="X55" s="499"/>
      <c r="Y55" s="499"/>
      <c r="Z55" s="499"/>
      <c r="AA55" s="499"/>
    </row>
    <row r="56" spans="2:27" ht="18" customHeight="1">
      <c r="B56" s="837" t="s">
        <v>460</v>
      </c>
      <c r="C56" s="837"/>
      <c r="D56" s="838" t="s">
        <v>550</v>
      </c>
      <c r="E56" s="838"/>
      <c r="F56" s="838" t="s">
        <v>551</v>
      </c>
      <c r="G56" s="838"/>
      <c r="H56" s="514" t="s">
        <v>552</v>
      </c>
      <c r="I56" s="514" t="s">
        <v>553</v>
      </c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499"/>
      <c r="V56" s="499"/>
      <c r="W56" s="499"/>
      <c r="X56" s="499"/>
      <c r="Y56" s="499"/>
      <c r="Z56" s="499"/>
      <c r="AA56" s="499"/>
    </row>
    <row r="57" spans="2:27" ht="13.5" customHeight="1">
      <c r="B57" s="837"/>
      <c r="C57" s="837"/>
      <c r="D57" s="832"/>
      <c r="E57" s="832"/>
      <c r="F57" s="832"/>
      <c r="G57" s="832"/>
      <c r="H57" s="845" t="s">
        <v>12</v>
      </c>
      <c r="I57" s="845"/>
      <c r="J57" s="532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  <c r="W57" s="499"/>
      <c r="X57" s="499"/>
      <c r="Y57" s="499"/>
      <c r="Z57" s="499"/>
      <c r="AA57" s="499"/>
    </row>
    <row r="58" spans="2:27" ht="11.25" customHeight="1">
      <c r="B58" s="835">
        <v>1</v>
      </c>
      <c r="C58" s="832"/>
      <c r="D58" s="836">
        <v>2</v>
      </c>
      <c r="E58" s="836"/>
      <c r="F58" s="836">
        <v>3</v>
      </c>
      <c r="G58" s="836"/>
      <c r="H58" s="533">
        <v>4</v>
      </c>
      <c r="I58" s="533">
        <v>5</v>
      </c>
      <c r="J58" s="520"/>
      <c r="K58" s="499"/>
      <c r="L58" s="499"/>
      <c r="M58" s="499"/>
      <c r="N58" s="499"/>
      <c r="O58" s="499"/>
      <c r="P58" s="499"/>
      <c r="Q58" s="499"/>
      <c r="R58" s="499"/>
      <c r="S58" s="499"/>
      <c r="T58" s="499"/>
      <c r="U58" s="499"/>
      <c r="V58" s="499"/>
      <c r="W58" s="499"/>
      <c r="X58" s="499"/>
      <c r="Y58" s="499"/>
      <c r="Z58" s="499"/>
      <c r="AA58" s="499"/>
    </row>
    <row r="59" spans="2:27" ht="25.5" customHeight="1">
      <c r="B59" s="839" t="s">
        <v>554</v>
      </c>
      <c r="C59" s="839"/>
      <c r="D59" s="840">
        <f>2071899691.4</f>
        <v>2071899691.4</v>
      </c>
      <c r="E59" s="840"/>
      <c r="F59" s="840">
        <f>1007892828.31</f>
        <v>1007892828.31</v>
      </c>
      <c r="G59" s="840"/>
      <c r="H59" s="524"/>
      <c r="I59" s="524"/>
      <c r="J59" s="534"/>
      <c r="K59" s="499"/>
      <c r="L59" s="499"/>
      <c r="M59" s="499"/>
      <c r="N59" s="499"/>
      <c r="O59" s="499"/>
      <c r="P59" s="499"/>
      <c r="Q59" s="499"/>
      <c r="R59" s="499"/>
      <c r="S59" s="499"/>
      <c r="T59" s="499"/>
      <c r="U59" s="499"/>
      <c r="V59" s="499"/>
      <c r="W59" s="499"/>
      <c r="X59" s="499"/>
      <c r="Y59" s="499"/>
      <c r="Z59" s="499"/>
      <c r="AA59" s="499"/>
    </row>
    <row r="60" spans="2:27" ht="25.5" customHeight="1">
      <c r="B60" s="841" t="s">
        <v>555</v>
      </c>
      <c r="C60" s="839"/>
      <c r="D60" s="840">
        <f>2987262960.15</f>
        <v>2987262960.15</v>
      </c>
      <c r="E60" s="840"/>
      <c r="F60" s="840">
        <f>1745020765.39</f>
        <v>1745020765.39</v>
      </c>
      <c r="G60" s="840"/>
      <c r="H60" s="308">
        <f aca="true" t="shared" si="6" ref="H60:H72">IF($F$60=0,"",100*$F60/$F$60)</f>
        <v>100</v>
      </c>
      <c r="I60" s="524">
        <f aca="true" t="shared" si="7" ref="I60:I81">IF(D60=0,"",100*F60/D60)</f>
        <v>58.41537181923807</v>
      </c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499"/>
      <c r="U60" s="499"/>
      <c r="V60" s="499"/>
      <c r="W60" s="499"/>
      <c r="X60" s="499"/>
      <c r="Y60" s="499"/>
      <c r="Z60" s="499"/>
      <c r="AA60" s="499"/>
    </row>
    <row r="61" spans="2:27" ht="13.5" customHeight="1">
      <c r="B61" s="842" t="s">
        <v>556</v>
      </c>
      <c r="C61" s="842"/>
      <c r="D61" s="843">
        <f>1333460521.52</f>
        <v>1333460521.52</v>
      </c>
      <c r="E61" s="843"/>
      <c r="F61" s="843">
        <f>182715606.38</f>
        <v>182715606.38</v>
      </c>
      <c r="G61" s="843"/>
      <c r="H61" s="526">
        <f t="shared" si="6"/>
        <v>10.470683788061647</v>
      </c>
      <c r="I61" s="526">
        <f t="shared" si="7"/>
        <v>13.70236339443511</v>
      </c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499"/>
      <c r="AA61" s="499"/>
    </row>
    <row r="62" spans="2:27" ht="45" customHeight="1">
      <c r="B62" s="844" t="s">
        <v>691</v>
      </c>
      <c r="C62" s="844" t="s">
        <v>558</v>
      </c>
      <c r="D62" s="843">
        <f>315553039.97</f>
        <v>315553039.97</v>
      </c>
      <c r="E62" s="843"/>
      <c r="F62" s="843">
        <f>182633969.94</f>
        <v>182633969.94</v>
      </c>
      <c r="G62" s="843"/>
      <c r="H62" s="526">
        <f t="shared" si="6"/>
        <v>10.466005537715338</v>
      </c>
      <c r="I62" s="526">
        <f t="shared" si="7"/>
        <v>57.877423699471635</v>
      </c>
      <c r="J62" s="499"/>
      <c r="K62" s="499"/>
      <c r="L62" s="499"/>
      <c r="M62" s="499"/>
      <c r="N62" s="499"/>
      <c r="O62" s="499"/>
      <c r="P62" s="499"/>
      <c r="Q62" s="499"/>
      <c r="R62" s="499"/>
      <c r="S62" s="499"/>
      <c r="T62" s="499"/>
      <c r="U62" s="499"/>
      <c r="V62" s="499"/>
      <c r="W62" s="499"/>
      <c r="X62" s="499"/>
      <c r="Y62" s="499"/>
      <c r="Z62" s="499"/>
      <c r="AA62" s="499"/>
    </row>
    <row r="63" spans="2:27" ht="13.5" customHeight="1">
      <c r="B63" s="842" t="s">
        <v>559</v>
      </c>
      <c r="C63" s="842" t="s">
        <v>560</v>
      </c>
      <c r="D63" s="843">
        <f>46650320</f>
        <v>46650320</v>
      </c>
      <c r="E63" s="843"/>
      <c r="F63" s="843">
        <f>2403369.08</f>
        <v>2403369.08</v>
      </c>
      <c r="G63" s="843"/>
      <c r="H63" s="526">
        <f t="shared" si="6"/>
        <v>0.13772724816044601</v>
      </c>
      <c r="I63" s="526">
        <f t="shared" si="7"/>
        <v>5.151881230396705</v>
      </c>
      <c r="J63" s="499"/>
      <c r="K63" s="499"/>
      <c r="L63" s="499"/>
      <c r="M63" s="499"/>
      <c r="N63" s="499"/>
      <c r="O63" s="499"/>
      <c r="P63" s="499"/>
      <c r="Q63" s="499"/>
      <c r="R63" s="499"/>
      <c r="S63" s="499"/>
      <c r="T63" s="499"/>
      <c r="U63" s="499"/>
      <c r="V63" s="499"/>
      <c r="W63" s="499"/>
      <c r="X63" s="499"/>
      <c r="Y63" s="499"/>
      <c r="Z63" s="499"/>
      <c r="AA63" s="499"/>
    </row>
    <row r="64" spans="2:27" ht="13.5" customHeight="1">
      <c r="B64" s="842" t="s">
        <v>561</v>
      </c>
      <c r="C64" s="842" t="s">
        <v>562</v>
      </c>
      <c r="D64" s="843">
        <f>852987850</f>
        <v>852987850</v>
      </c>
      <c r="E64" s="843"/>
      <c r="F64" s="843">
        <f>902639243.29</f>
        <v>902639243.29</v>
      </c>
      <c r="G64" s="843"/>
      <c r="H64" s="526">
        <f t="shared" si="6"/>
        <v>51.726561723078774</v>
      </c>
      <c r="I64" s="526">
        <f t="shared" si="7"/>
        <v>105.82087931146968</v>
      </c>
      <c r="J64" s="499"/>
      <c r="K64" s="499"/>
      <c r="L64" s="499"/>
      <c r="M64" s="499"/>
      <c r="N64" s="499"/>
      <c r="O64" s="499"/>
      <c r="P64" s="499"/>
      <c r="Q64" s="499"/>
      <c r="R64" s="499"/>
      <c r="S64" s="499"/>
      <c r="T64" s="499"/>
      <c r="U64" s="499"/>
      <c r="V64" s="499"/>
      <c r="W64" s="499"/>
      <c r="X64" s="499"/>
      <c r="Y64" s="499"/>
      <c r="Z64" s="499"/>
      <c r="AA64" s="499"/>
    </row>
    <row r="65" spans="2:27" ht="13.5" customHeight="1">
      <c r="B65" s="844" t="s">
        <v>563</v>
      </c>
      <c r="C65" s="844" t="s">
        <v>564</v>
      </c>
      <c r="D65" s="843">
        <f>531838388</f>
        <v>531838388</v>
      </c>
      <c r="E65" s="843"/>
      <c r="F65" s="843">
        <f>0</f>
        <v>0</v>
      </c>
      <c r="G65" s="843"/>
      <c r="H65" s="526">
        <f t="shared" si="6"/>
        <v>0</v>
      </c>
      <c r="I65" s="526">
        <f t="shared" si="7"/>
        <v>0</v>
      </c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</row>
    <row r="66" spans="2:27" ht="13.5" customHeight="1">
      <c r="B66" s="842" t="s">
        <v>565</v>
      </c>
      <c r="C66" s="842" t="s">
        <v>566</v>
      </c>
      <c r="D66" s="843">
        <f>0</f>
        <v>0</v>
      </c>
      <c r="E66" s="843"/>
      <c r="F66" s="843">
        <f>0</f>
        <v>0</v>
      </c>
      <c r="G66" s="843"/>
      <c r="H66" s="526">
        <f t="shared" si="6"/>
        <v>0</v>
      </c>
      <c r="I66" s="526">
        <f t="shared" si="7"/>
      </c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  <c r="Y66" s="499"/>
      <c r="Z66" s="499"/>
      <c r="AA66" s="499"/>
    </row>
    <row r="67" spans="2:27" ht="45" customHeight="1">
      <c r="B67" s="844" t="s">
        <v>691</v>
      </c>
      <c r="C67" s="844" t="s">
        <v>558</v>
      </c>
      <c r="D67" s="843">
        <f>0</f>
        <v>0</v>
      </c>
      <c r="E67" s="843"/>
      <c r="F67" s="843">
        <f>0</f>
        <v>0</v>
      </c>
      <c r="G67" s="843"/>
      <c r="H67" s="526">
        <f t="shared" si="6"/>
        <v>0</v>
      </c>
      <c r="I67" s="526">
        <f t="shared" si="7"/>
      </c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499"/>
      <c r="U67" s="499"/>
      <c r="V67" s="499"/>
      <c r="W67" s="499"/>
      <c r="X67" s="499"/>
      <c r="Y67" s="499"/>
      <c r="Z67" s="499"/>
      <c r="AA67" s="499"/>
    </row>
    <row r="68" spans="2:27" ht="22.5" customHeight="1">
      <c r="B68" s="842" t="s">
        <v>567</v>
      </c>
      <c r="C68" s="842" t="s">
        <v>568</v>
      </c>
      <c r="D68" s="843">
        <f>408738410</f>
        <v>408738410</v>
      </c>
      <c r="E68" s="843"/>
      <c r="F68" s="843">
        <f>0</f>
        <v>0</v>
      </c>
      <c r="G68" s="843"/>
      <c r="H68" s="526">
        <f t="shared" si="6"/>
        <v>0</v>
      </c>
      <c r="I68" s="526">
        <f t="shared" si="7"/>
        <v>0</v>
      </c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</row>
    <row r="69" spans="2:27" ht="45" customHeight="1">
      <c r="B69" s="844" t="s">
        <v>691</v>
      </c>
      <c r="C69" s="844" t="s">
        <v>558</v>
      </c>
      <c r="D69" s="843">
        <f>0</f>
        <v>0</v>
      </c>
      <c r="E69" s="843"/>
      <c r="F69" s="843">
        <f>0</f>
        <v>0</v>
      </c>
      <c r="G69" s="843"/>
      <c r="H69" s="526">
        <f t="shared" si="6"/>
        <v>0</v>
      </c>
      <c r="I69" s="526">
        <f t="shared" si="7"/>
      </c>
      <c r="J69" s="499"/>
      <c r="K69" s="499"/>
      <c r="L69" s="499"/>
      <c r="M69" s="499"/>
      <c r="N69" s="499"/>
      <c r="O69" s="499"/>
      <c r="P69" s="499"/>
      <c r="Q69" s="499"/>
      <c r="R69" s="499"/>
      <c r="S69" s="499"/>
      <c r="T69" s="499"/>
      <c r="U69" s="499"/>
      <c r="V69" s="499"/>
      <c r="W69" s="499"/>
      <c r="X69" s="499"/>
      <c r="Y69" s="499"/>
      <c r="Z69" s="499"/>
      <c r="AA69" s="499"/>
    </row>
    <row r="70" spans="2:27" ht="13.5" customHeight="1">
      <c r="B70" s="842" t="s">
        <v>569</v>
      </c>
      <c r="C70" s="842" t="s">
        <v>570</v>
      </c>
      <c r="D70" s="843">
        <f>0</f>
        <v>0</v>
      </c>
      <c r="E70" s="843"/>
      <c r="F70" s="843">
        <f>0</f>
        <v>0</v>
      </c>
      <c r="G70" s="843"/>
      <c r="H70" s="526">
        <f t="shared" si="6"/>
        <v>0</v>
      </c>
      <c r="I70" s="526">
        <f t="shared" si="7"/>
      </c>
      <c r="J70" s="499"/>
      <c r="K70" s="499"/>
      <c r="L70" s="499"/>
      <c r="M70" s="499"/>
      <c r="N70" s="499"/>
      <c r="O70" s="499"/>
      <c r="P70" s="499"/>
      <c r="Q70" s="499"/>
      <c r="R70" s="499"/>
      <c r="S70" s="499"/>
      <c r="T70" s="499"/>
      <c r="U70" s="499"/>
      <c r="V70" s="499"/>
      <c r="W70" s="499"/>
      <c r="X70" s="499"/>
      <c r="Y70" s="499"/>
      <c r="Z70" s="499"/>
      <c r="AA70" s="499"/>
    </row>
    <row r="71" spans="2:27" ht="13.5" customHeight="1">
      <c r="B71" s="842" t="s">
        <v>571</v>
      </c>
      <c r="C71" s="842" t="s">
        <v>572</v>
      </c>
      <c r="D71" s="843">
        <f>345425858.63</f>
        <v>345425858.63</v>
      </c>
      <c r="E71" s="843"/>
      <c r="F71" s="843">
        <f>657262546.64</f>
        <v>657262546.64</v>
      </c>
      <c r="G71" s="843"/>
      <c r="H71" s="526">
        <f t="shared" si="6"/>
        <v>37.66502724069913</v>
      </c>
      <c r="I71" s="526">
        <f t="shared" si="7"/>
        <v>190.2760115431952</v>
      </c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  <c r="V71" s="499"/>
      <c r="W71" s="499"/>
      <c r="X71" s="499"/>
      <c r="Y71" s="499"/>
      <c r="Z71" s="499"/>
      <c r="AA71" s="499"/>
    </row>
    <row r="72" spans="2:27" ht="13.5" customHeight="1">
      <c r="B72" s="844" t="s">
        <v>563</v>
      </c>
      <c r="C72" s="844" t="s">
        <v>564</v>
      </c>
      <c r="D72" s="843">
        <f>212375096.39</f>
        <v>212375096.39</v>
      </c>
      <c r="E72" s="843"/>
      <c r="F72" s="843">
        <f>40417087</f>
        <v>40417087</v>
      </c>
      <c r="G72" s="843"/>
      <c r="H72" s="526">
        <f t="shared" si="6"/>
        <v>2.3161378822312786</v>
      </c>
      <c r="I72" s="526">
        <f t="shared" si="7"/>
        <v>19.030991715610163</v>
      </c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</row>
    <row r="73" spans="2:27" ht="25.5" customHeight="1">
      <c r="B73" s="841" t="s">
        <v>573</v>
      </c>
      <c r="C73" s="839" t="s">
        <v>574</v>
      </c>
      <c r="D73" s="840">
        <f>915363268.75</f>
        <v>915363268.75</v>
      </c>
      <c r="E73" s="840"/>
      <c r="F73" s="840">
        <f>737127937.08</f>
        <v>737127937.08</v>
      </c>
      <c r="G73" s="840"/>
      <c r="H73" s="308">
        <f aca="true" t="shared" si="8" ref="H73:H81">IF($F$73=0,"",100*$F73/$F$73)</f>
        <v>100</v>
      </c>
      <c r="I73" s="524">
        <f t="shared" si="7"/>
        <v>80.52845927350852</v>
      </c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499"/>
      <c r="U73" s="499"/>
      <c r="V73" s="499"/>
      <c r="W73" s="499"/>
      <c r="X73" s="499"/>
      <c r="Y73" s="499"/>
      <c r="Z73" s="499"/>
      <c r="AA73" s="499"/>
    </row>
    <row r="74" spans="2:27" ht="13.5" customHeight="1">
      <c r="B74" s="842" t="s">
        <v>575</v>
      </c>
      <c r="C74" s="842" t="s">
        <v>576</v>
      </c>
      <c r="D74" s="843">
        <f>838032268.75</f>
        <v>838032268.75</v>
      </c>
      <c r="E74" s="843"/>
      <c r="F74" s="843">
        <f>483508123.08</f>
        <v>483508123.08</v>
      </c>
      <c r="G74" s="843"/>
      <c r="H74" s="526">
        <f t="shared" si="8"/>
        <v>65.59351487820834</v>
      </c>
      <c r="I74" s="526">
        <f t="shared" si="7"/>
        <v>57.695645037773495</v>
      </c>
      <c r="J74" s="499"/>
      <c r="K74" s="499"/>
      <c r="L74" s="499"/>
      <c r="M74" s="499"/>
      <c r="N74" s="499"/>
      <c r="O74" s="499"/>
      <c r="P74" s="499"/>
      <c r="Q74" s="499"/>
      <c r="R74" s="499"/>
      <c r="S74" s="499"/>
      <c r="T74" s="499"/>
      <c r="U74" s="499"/>
      <c r="V74" s="499"/>
      <c r="W74" s="499"/>
      <c r="X74" s="499"/>
      <c r="Y74" s="499"/>
      <c r="Z74" s="499"/>
      <c r="AA74" s="499"/>
    </row>
    <row r="75" spans="2:27" ht="45" customHeight="1">
      <c r="B75" s="844" t="s">
        <v>577</v>
      </c>
      <c r="C75" s="844" t="s">
        <v>558</v>
      </c>
      <c r="D75" s="843">
        <f>725998437.85</f>
        <v>725998437.85</v>
      </c>
      <c r="E75" s="843"/>
      <c r="F75" s="843">
        <f>417742654.54</f>
        <v>417742654.54</v>
      </c>
      <c r="G75" s="843"/>
      <c r="H75" s="526">
        <f t="shared" si="8"/>
        <v>56.67166220762335</v>
      </c>
      <c r="I75" s="526">
        <f t="shared" si="7"/>
        <v>57.540434353704576</v>
      </c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499"/>
    </row>
    <row r="76" spans="2:27" ht="13.5" customHeight="1">
      <c r="B76" s="842" t="s">
        <v>578</v>
      </c>
      <c r="C76" s="842" t="s">
        <v>579</v>
      </c>
      <c r="D76" s="843">
        <f>57531000</f>
        <v>57531000</v>
      </c>
      <c r="E76" s="843"/>
      <c r="F76" s="843">
        <f>103619814</f>
        <v>103619814</v>
      </c>
      <c r="G76" s="843"/>
      <c r="H76" s="526">
        <f t="shared" si="8"/>
        <v>14.057236035642779</v>
      </c>
      <c r="I76" s="526">
        <f t="shared" si="7"/>
        <v>180.11126870730564</v>
      </c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499"/>
      <c r="U76" s="499"/>
      <c r="V76" s="499"/>
      <c r="W76" s="499"/>
      <c r="X76" s="499"/>
      <c r="Y76" s="499"/>
      <c r="Z76" s="499"/>
      <c r="AA76" s="499"/>
    </row>
    <row r="77" spans="2:27" ht="13.5" customHeight="1">
      <c r="B77" s="842" t="s">
        <v>580</v>
      </c>
      <c r="C77" s="842" t="s">
        <v>581</v>
      </c>
      <c r="D77" s="843">
        <f>0</f>
        <v>0</v>
      </c>
      <c r="E77" s="843"/>
      <c r="F77" s="843">
        <f>0</f>
        <v>0</v>
      </c>
      <c r="G77" s="843"/>
      <c r="H77" s="526">
        <f t="shared" si="8"/>
        <v>0</v>
      </c>
      <c r="I77" s="526">
        <f t="shared" si="7"/>
      </c>
      <c r="J77" s="499"/>
      <c r="K77" s="499"/>
      <c r="L77" s="499"/>
      <c r="M77" s="499"/>
      <c r="N77" s="499"/>
      <c r="O77" s="499"/>
      <c r="P77" s="499"/>
      <c r="Q77" s="499"/>
      <c r="R77" s="499"/>
      <c r="S77" s="499"/>
      <c r="T77" s="499"/>
      <c r="U77" s="499"/>
      <c r="V77" s="499"/>
      <c r="W77" s="499"/>
      <c r="X77" s="499"/>
      <c r="Y77" s="499"/>
      <c r="Z77" s="499"/>
      <c r="AA77" s="499"/>
    </row>
    <row r="78" spans="2:27" ht="45" customHeight="1">
      <c r="B78" s="844" t="s">
        <v>577</v>
      </c>
      <c r="C78" s="844" t="s">
        <v>558</v>
      </c>
      <c r="D78" s="843">
        <f>0</f>
        <v>0</v>
      </c>
      <c r="E78" s="843"/>
      <c r="F78" s="843">
        <f>0</f>
        <v>0</v>
      </c>
      <c r="G78" s="843"/>
      <c r="H78" s="526">
        <f t="shared" si="8"/>
        <v>0</v>
      </c>
      <c r="I78" s="526">
        <f t="shared" si="7"/>
      </c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</row>
    <row r="79" spans="2:27" ht="13.5" customHeight="1">
      <c r="B79" s="842" t="s">
        <v>582</v>
      </c>
      <c r="C79" s="842" t="s">
        <v>583</v>
      </c>
      <c r="D79" s="843">
        <f>19800000</f>
        <v>19800000</v>
      </c>
      <c r="E79" s="843"/>
      <c r="F79" s="843">
        <f>0</f>
        <v>0</v>
      </c>
      <c r="G79" s="843"/>
      <c r="H79" s="526">
        <f t="shared" si="8"/>
        <v>0</v>
      </c>
      <c r="I79" s="526">
        <f t="shared" si="7"/>
        <v>0</v>
      </c>
      <c r="J79" s="499"/>
      <c r="K79" s="499"/>
      <c r="L79" s="499"/>
      <c r="M79" s="499"/>
      <c r="N79" s="499"/>
      <c r="O79" s="499"/>
      <c r="P79" s="499"/>
      <c r="Q79" s="499"/>
      <c r="R79" s="499"/>
      <c r="S79" s="499"/>
      <c r="T79" s="499"/>
      <c r="U79" s="499"/>
      <c r="V79" s="499"/>
      <c r="W79" s="499"/>
      <c r="X79" s="499"/>
      <c r="Y79" s="499"/>
      <c r="Z79" s="499"/>
      <c r="AA79" s="499"/>
    </row>
    <row r="80" spans="2:27" ht="45" customHeight="1">
      <c r="B80" s="844" t="s">
        <v>577</v>
      </c>
      <c r="C80" s="844" t="s">
        <v>558</v>
      </c>
      <c r="D80" s="843">
        <f>0</f>
        <v>0</v>
      </c>
      <c r="E80" s="843"/>
      <c r="F80" s="843">
        <f>0</f>
        <v>0</v>
      </c>
      <c r="G80" s="843"/>
      <c r="H80" s="526">
        <f t="shared" si="8"/>
        <v>0</v>
      </c>
      <c r="I80" s="526">
        <f t="shared" si="7"/>
      </c>
      <c r="J80" s="499"/>
      <c r="K80" s="499"/>
      <c r="L80" s="499"/>
      <c r="M80" s="499"/>
      <c r="N80" s="499"/>
      <c r="O80" s="499"/>
      <c r="P80" s="499"/>
      <c r="Q80" s="499"/>
      <c r="R80" s="499"/>
      <c r="S80" s="499"/>
      <c r="T80" s="499"/>
      <c r="U80" s="499"/>
      <c r="V80" s="499"/>
      <c r="W80" s="499"/>
      <c r="X80" s="499"/>
      <c r="Y80" s="499"/>
      <c r="Z80" s="499"/>
      <c r="AA80" s="499"/>
    </row>
    <row r="81" spans="2:27" ht="13.5" customHeight="1">
      <c r="B81" s="842" t="s">
        <v>584</v>
      </c>
      <c r="C81" s="842" t="s">
        <v>585</v>
      </c>
      <c r="D81" s="843">
        <f>0</f>
        <v>0</v>
      </c>
      <c r="E81" s="843"/>
      <c r="F81" s="843">
        <f>150000000</f>
        <v>150000000</v>
      </c>
      <c r="G81" s="843"/>
      <c r="H81" s="526">
        <f t="shared" si="8"/>
        <v>20.34924908614888</v>
      </c>
      <c r="I81" s="526">
        <f t="shared" si="7"/>
      </c>
      <c r="J81" s="499"/>
      <c r="K81" s="499"/>
      <c r="L81" s="499"/>
      <c r="M81" s="499"/>
      <c r="N81" s="499"/>
      <c r="O81" s="499"/>
      <c r="P81" s="499"/>
      <c r="Q81" s="499"/>
      <c r="R81" s="499"/>
      <c r="S81" s="499"/>
      <c r="T81" s="499"/>
      <c r="U81" s="499"/>
      <c r="V81" s="499"/>
      <c r="W81" s="499"/>
      <c r="X81" s="499"/>
      <c r="Y81" s="499"/>
      <c r="Z81" s="499"/>
      <c r="AA81" s="499"/>
    </row>
    <row r="82" spans="2:27" ht="12.75">
      <c r="B82" s="499"/>
      <c r="C82" s="499"/>
      <c r="D82" s="499"/>
      <c r="E82" s="499"/>
      <c r="F82" s="499"/>
      <c r="G82" s="499"/>
      <c r="H82" s="499"/>
      <c r="I82" s="499"/>
      <c r="J82" s="499"/>
      <c r="K82" s="499"/>
      <c r="L82" s="499"/>
      <c r="M82" s="499"/>
      <c r="N82" s="499"/>
      <c r="O82" s="499"/>
      <c r="P82" s="499"/>
      <c r="Q82" s="499"/>
      <c r="R82" s="499"/>
      <c r="S82" s="499"/>
      <c r="T82" s="499"/>
      <c r="U82" s="499"/>
      <c r="V82" s="499"/>
      <c r="W82" s="499"/>
      <c r="X82" s="499"/>
      <c r="Y82" s="499"/>
      <c r="Z82" s="499"/>
      <c r="AA82" s="499"/>
    </row>
    <row r="83" spans="2:27" ht="12.75">
      <c r="B83" s="499"/>
      <c r="C83" s="499"/>
      <c r="D83" s="499"/>
      <c r="E83" s="499"/>
      <c r="F83" s="499"/>
      <c r="G83" s="499"/>
      <c r="H83" s="499"/>
      <c r="I83" s="499"/>
      <c r="J83" s="499"/>
      <c r="K83" s="499"/>
      <c r="L83" s="499"/>
      <c r="M83" s="499"/>
      <c r="N83" s="499"/>
      <c r="O83" s="499"/>
      <c r="P83" s="499"/>
      <c r="Q83" s="499"/>
      <c r="R83" s="499"/>
      <c r="S83" s="499"/>
      <c r="T83" s="499"/>
      <c r="U83" s="499"/>
      <c r="V83" s="499"/>
      <c r="W83" s="499"/>
      <c r="X83" s="499"/>
      <c r="Y83" s="499"/>
      <c r="Z83" s="499"/>
      <c r="AA83" s="499"/>
    </row>
    <row r="84" spans="2:27" ht="12.75">
      <c r="B84" s="535" t="s">
        <v>586</v>
      </c>
      <c r="C84" s="535">
        <f>2</f>
        <v>2</v>
      </c>
      <c r="D84" s="535" t="s">
        <v>697</v>
      </c>
      <c r="E84" s="499"/>
      <c r="F84" s="499"/>
      <c r="G84" s="499"/>
      <c r="H84" s="499"/>
      <c r="I84" s="499"/>
      <c r="J84" s="499"/>
      <c r="K84" s="499"/>
      <c r="L84" s="499"/>
      <c r="M84" s="499"/>
      <c r="N84" s="499"/>
      <c r="O84" s="499"/>
      <c r="P84" s="499"/>
      <c r="Q84" s="499"/>
      <c r="R84" s="499"/>
      <c r="S84" s="499"/>
      <c r="T84" s="499"/>
      <c r="U84" s="499"/>
      <c r="V84" s="499"/>
      <c r="W84" s="499"/>
      <c r="X84" s="499"/>
      <c r="Y84" s="499"/>
      <c r="Z84" s="499"/>
      <c r="AA84" s="499"/>
    </row>
    <row r="85" spans="2:27" ht="12.75">
      <c r="B85" s="535" t="s">
        <v>587</v>
      </c>
      <c r="C85" s="535">
        <f>2008</f>
        <v>2008</v>
      </c>
      <c r="D85" s="499"/>
      <c r="E85" s="499"/>
      <c r="F85" s="499"/>
      <c r="G85" s="499"/>
      <c r="H85" s="499"/>
      <c r="I85" s="499"/>
      <c r="J85" s="499"/>
      <c r="K85" s="499"/>
      <c r="L85" s="499"/>
      <c r="M85" s="499"/>
      <c r="N85" s="499"/>
      <c r="O85" s="499"/>
      <c r="P85" s="499"/>
      <c r="Q85" s="499"/>
      <c r="R85" s="499"/>
      <c r="S85" s="499"/>
      <c r="T85" s="499"/>
      <c r="U85" s="499"/>
      <c r="V85" s="499"/>
      <c r="W85" s="499"/>
      <c r="X85" s="499"/>
      <c r="Y85" s="499"/>
      <c r="Z85" s="499"/>
      <c r="AA85" s="499"/>
    </row>
    <row r="86" spans="2:27" ht="12.75">
      <c r="B86" s="535" t="s">
        <v>588</v>
      </c>
      <c r="C86" s="536" t="str">
        <f>"Aug 18 2008 12:00AM"</f>
        <v>Aug 18 2008 12:00AM</v>
      </c>
      <c r="D86" s="499"/>
      <c r="E86" s="499"/>
      <c r="F86" s="499"/>
      <c r="G86" s="499"/>
      <c r="H86" s="499"/>
      <c r="I86" s="499"/>
      <c r="J86" s="499"/>
      <c r="K86" s="499"/>
      <c r="L86" s="499"/>
      <c r="M86" s="499"/>
      <c r="N86" s="499"/>
      <c r="O86" s="499"/>
      <c r="P86" s="499"/>
      <c r="Q86" s="499"/>
      <c r="R86" s="499"/>
      <c r="S86" s="499"/>
      <c r="T86" s="499"/>
      <c r="U86" s="499"/>
      <c r="V86" s="499"/>
      <c r="W86" s="499"/>
      <c r="X86" s="499"/>
      <c r="Y86" s="499"/>
      <c r="Z86" s="499"/>
      <c r="AA86" s="499"/>
    </row>
  </sheetData>
  <sheetProtection/>
  <mergeCells count="108">
    <mergeCell ref="I44:J44"/>
    <mergeCell ref="I45:J45"/>
    <mergeCell ref="I46:J46"/>
    <mergeCell ref="I47:J47"/>
    <mergeCell ref="I41:J41"/>
    <mergeCell ref="I40:J40"/>
    <mergeCell ref="I42:J42"/>
    <mergeCell ref="I43:J43"/>
    <mergeCell ref="I36:J36"/>
    <mergeCell ref="I37:J37"/>
    <mergeCell ref="I38:J38"/>
    <mergeCell ref="I39:J39"/>
    <mergeCell ref="I35:J35"/>
    <mergeCell ref="H57:I57"/>
    <mergeCell ref="B1:M1"/>
    <mergeCell ref="B54:M54"/>
    <mergeCell ref="I31:J33"/>
    <mergeCell ref="D31:D33"/>
    <mergeCell ref="E31:E33"/>
    <mergeCell ref="F32:F33"/>
    <mergeCell ref="F31:H31"/>
    <mergeCell ref="G32:H32"/>
    <mergeCell ref="D80:E80"/>
    <mergeCell ref="F80:G80"/>
    <mergeCell ref="B77:C77"/>
    <mergeCell ref="D77:E77"/>
    <mergeCell ref="F77:G77"/>
    <mergeCell ref="B81:C81"/>
    <mergeCell ref="D81:E81"/>
    <mergeCell ref="F81:G81"/>
    <mergeCell ref="B78:C78"/>
    <mergeCell ref="D78:E78"/>
    <mergeCell ref="F78:G78"/>
    <mergeCell ref="B79:C79"/>
    <mergeCell ref="D79:E79"/>
    <mergeCell ref="F79:G79"/>
    <mergeCell ref="B80:C80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59:C59"/>
    <mergeCell ref="D59:E59"/>
    <mergeCell ref="F59:G59"/>
    <mergeCell ref="B60:C60"/>
    <mergeCell ref="D60:E60"/>
    <mergeCell ref="F60:G60"/>
    <mergeCell ref="B58:C58"/>
    <mergeCell ref="D58:E58"/>
    <mergeCell ref="F58:G58"/>
    <mergeCell ref="B56:C57"/>
    <mergeCell ref="D56:E56"/>
    <mergeCell ref="F56:G56"/>
    <mergeCell ref="D57:G57"/>
    <mergeCell ref="L31:L33"/>
    <mergeCell ref="B3:B4"/>
    <mergeCell ref="C31:C33"/>
    <mergeCell ref="B31:B34"/>
    <mergeCell ref="K31:K33"/>
    <mergeCell ref="K34:L34"/>
    <mergeCell ref="F4:H4"/>
    <mergeCell ref="B29:M29"/>
    <mergeCell ref="C34:J34"/>
    <mergeCell ref="C4:E4"/>
  </mergeCells>
  <printOptions/>
  <pageMargins left="0.18" right="0.18" top="0.5511811023622047" bottom="0.3937007874015748" header="0.31496062992125984" footer="0.1968503937007874"/>
  <pageSetup horizontalDpi="600" verticalDpi="600" orientation="landscape" paperSize="9" scale="95" r:id="rId3"/>
  <headerFooter alignWithMargins="0">
    <oddFooter>&amp;R&amp;9str. &amp;P z &amp;N</oddFooter>
  </headerFooter>
  <rowBreaks count="1" manualBreakCount="1">
    <brk id="72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9"/>
  <dimension ref="A1:Q53"/>
  <sheetViews>
    <sheetView showGridLines="0" zoomScaleSheetLayoutView="100" workbookViewId="0" topLeftCell="A25">
      <selection activeCell="A24" sqref="A24:M24"/>
    </sheetView>
  </sheetViews>
  <sheetFormatPr defaultColWidth="9.140625" defaultRowHeight="13.5" customHeight="1"/>
  <cols>
    <col min="1" max="1" width="22.57421875" style="313" customWidth="1"/>
    <col min="2" max="6" width="11.421875" style="313" customWidth="1"/>
    <col min="7" max="7" width="12.140625" style="313" customWidth="1"/>
    <col min="8" max="8" width="12.00390625" style="313" customWidth="1"/>
    <col min="9" max="9" width="11.7109375" style="313" customWidth="1"/>
    <col min="10" max="10" width="12.8515625" style="313" customWidth="1"/>
    <col min="11" max="11" width="12.140625" style="313" customWidth="1"/>
    <col min="12" max="12" width="11.421875" style="313" customWidth="1"/>
    <col min="13" max="13" width="10.00390625" style="313" customWidth="1"/>
    <col min="14" max="14" width="10.28125" style="313" customWidth="1"/>
    <col min="15" max="15" width="10.140625" style="313" bestFit="1" customWidth="1"/>
    <col min="16" max="16" width="9.140625" style="313" customWidth="1"/>
    <col min="17" max="17" width="10.140625" style="313" bestFit="1" customWidth="1"/>
    <col min="18" max="16384" width="9.140625" style="313" customWidth="1"/>
  </cols>
  <sheetData>
    <row r="1" spans="1:17" ht="75" customHeight="1">
      <c r="A1" s="781" t="str">
        <f>CONCATENATE("Informacja z wykonania budżetów województw za  ",$C$51," ",$B$52," roku")</f>
        <v>Informacja z wykonania budżetów województw za  2 kwartały 2008 roku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327"/>
      <c r="O1" s="327"/>
      <c r="P1" s="327"/>
      <c r="Q1" s="327"/>
    </row>
    <row r="2" spans="1:17" ht="13.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327"/>
      <c r="O2" s="327"/>
      <c r="P2" s="327"/>
      <c r="Q2" s="327"/>
    </row>
    <row r="3" spans="1:17" ht="13.5" customHeight="1">
      <c r="A3" s="639" t="s">
        <v>604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327"/>
      <c r="O3" s="327"/>
      <c r="P3" s="327"/>
      <c r="Q3" s="327"/>
    </row>
    <row r="4" spans="1:17" ht="13.5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spans="1:17" ht="13.5" customHeight="1">
      <c r="A5" s="327"/>
      <c r="B5" s="314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328"/>
      <c r="O5" s="328"/>
      <c r="P5" s="328"/>
      <c r="Q5" s="328"/>
    </row>
    <row r="6" spans="1:17" ht="13.5" customHeight="1">
      <c r="A6" s="641" t="s">
        <v>460</v>
      </c>
      <c r="B6" s="640" t="s">
        <v>605</v>
      </c>
      <c r="C6" s="628" t="s">
        <v>606</v>
      </c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30"/>
      <c r="O6" s="628" t="s">
        <v>607</v>
      </c>
      <c r="P6" s="629"/>
      <c r="Q6" s="630"/>
    </row>
    <row r="7" spans="1:17" ht="13.5" customHeight="1">
      <c r="A7" s="642"/>
      <c r="B7" s="636"/>
      <c r="C7" s="634" t="s">
        <v>608</v>
      </c>
      <c r="D7" s="634" t="s">
        <v>609</v>
      </c>
      <c r="E7" s="634" t="s">
        <v>610</v>
      </c>
      <c r="F7" s="634" t="s">
        <v>611</v>
      </c>
      <c r="G7" s="634" t="s">
        <v>612</v>
      </c>
      <c r="H7" s="634" t="s">
        <v>613</v>
      </c>
      <c r="I7" s="652" t="s">
        <v>614</v>
      </c>
      <c r="J7" s="634" t="s">
        <v>615</v>
      </c>
      <c r="K7" s="634" t="s">
        <v>616</v>
      </c>
      <c r="L7" s="634" t="s">
        <v>617</v>
      </c>
      <c r="M7" s="634" t="s">
        <v>618</v>
      </c>
      <c r="N7" s="636" t="s">
        <v>619</v>
      </c>
      <c r="O7" s="635" t="s">
        <v>620</v>
      </c>
      <c r="P7" s="635" t="s">
        <v>621</v>
      </c>
      <c r="Q7" s="635" t="s">
        <v>622</v>
      </c>
    </row>
    <row r="8" spans="1:17" ht="13.5" customHeight="1">
      <c r="A8" s="642"/>
      <c r="B8" s="636"/>
      <c r="C8" s="635"/>
      <c r="D8" s="635"/>
      <c r="E8" s="635"/>
      <c r="F8" s="635"/>
      <c r="G8" s="635"/>
      <c r="H8" s="635"/>
      <c r="I8" s="652"/>
      <c r="J8" s="635"/>
      <c r="K8" s="635"/>
      <c r="L8" s="635"/>
      <c r="M8" s="635"/>
      <c r="N8" s="636"/>
      <c r="O8" s="635"/>
      <c r="P8" s="635"/>
      <c r="Q8" s="635"/>
    </row>
    <row r="9" spans="1:17" ht="13.5" customHeight="1">
      <c r="A9" s="642"/>
      <c r="B9" s="636"/>
      <c r="C9" s="635"/>
      <c r="D9" s="635"/>
      <c r="E9" s="635"/>
      <c r="F9" s="635"/>
      <c r="G9" s="635"/>
      <c r="H9" s="635"/>
      <c r="I9" s="652"/>
      <c r="J9" s="635"/>
      <c r="K9" s="635"/>
      <c r="L9" s="635"/>
      <c r="M9" s="635"/>
      <c r="N9" s="636"/>
      <c r="O9" s="635"/>
      <c r="P9" s="635"/>
      <c r="Q9" s="635"/>
    </row>
    <row r="10" spans="1:17" ht="11.25" customHeight="1">
      <c r="A10" s="642"/>
      <c r="B10" s="636"/>
      <c r="C10" s="635"/>
      <c r="D10" s="635"/>
      <c r="E10" s="635"/>
      <c r="F10" s="635"/>
      <c r="G10" s="635"/>
      <c r="H10" s="635"/>
      <c r="I10" s="652"/>
      <c r="J10" s="635"/>
      <c r="K10" s="635"/>
      <c r="L10" s="635"/>
      <c r="M10" s="635"/>
      <c r="N10" s="636"/>
      <c r="O10" s="635"/>
      <c r="P10" s="635"/>
      <c r="Q10" s="635"/>
    </row>
    <row r="11" spans="1:17" ht="11.25" customHeight="1">
      <c r="A11" s="643"/>
      <c r="B11" s="634"/>
      <c r="C11" s="635"/>
      <c r="D11" s="635"/>
      <c r="E11" s="635"/>
      <c r="F11" s="635"/>
      <c r="G11" s="635"/>
      <c r="H11" s="635"/>
      <c r="I11" s="653"/>
      <c r="J11" s="635"/>
      <c r="K11" s="635"/>
      <c r="L11" s="635"/>
      <c r="M11" s="635"/>
      <c r="N11" s="634"/>
      <c r="O11" s="635"/>
      <c r="P11" s="635"/>
      <c r="Q11" s="635"/>
    </row>
    <row r="12" spans="1:17" ht="13.5" customHeight="1">
      <c r="A12" s="312">
        <v>1</v>
      </c>
      <c r="B12" s="312">
        <v>2</v>
      </c>
      <c r="C12" s="312">
        <v>3</v>
      </c>
      <c r="D12" s="312">
        <v>4</v>
      </c>
      <c r="E12" s="312">
        <v>5</v>
      </c>
      <c r="F12" s="312">
        <v>6</v>
      </c>
      <c r="G12" s="312">
        <v>7</v>
      </c>
      <c r="H12" s="312">
        <v>8</v>
      </c>
      <c r="I12" s="312">
        <v>9</v>
      </c>
      <c r="J12" s="312">
        <v>10</v>
      </c>
      <c r="K12" s="312">
        <v>11</v>
      </c>
      <c r="L12" s="312">
        <v>12</v>
      </c>
      <c r="M12" s="312">
        <v>13</v>
      </c>
      <c r="N12" s="312">
        <v>14</v>
      </c>
      <c r="O12" s="312">
        <v>15</v>
      </c>
      <c r="P12" s="312">
        <v>16</v>
      </c>
      <c r="Q12" s="312">
        <v>17</v>
      </c>
    </row>
    <row r="13" spans="1:17" ht="21.75" customHeight="1">
      <c r="A13" s="329" t="s">
        <v>623</v>
      </c>
      <c r="B13" s="330">
        <f>1707398781.92</f>
        <v>1707398781.92</v>
      </c>
      <c r="C13" s="330">
        <f>1458105581.92</f>
        <v>1458105581.92</v>
      </c>
      <c r="D13" s="330">
        <f>342245771.91</f>
        <v>342245771.91</v>
      </c>
      <c r="E13" s="330">
        <f>340640228.83</f>
        <v>340640228.83</v>
      </c>
      <c r="F13" s="330">
        <f>27807.86</f>
        <v>27807.86</v>
      </c>
      <c r="G13" s="330">
        <f>880142.37</f>
        <v>880142.37</v>
      </c>
      <c r="H13" s="330">
        <f>697592.85</f>
        <v>697592.85</v>
      </c>
      <c r="I13" s="330">
        <f>0</f>
        <v>0</v>
      </c>
      <c r="J13" s="330">
        <f>1114656556.73</f>
        <v>1114656556.73</v>
      </c>
      <c r="K13" s="330">
        <f>7345.72</f>
        <v>7345.72</v>
      </c>
      <c r="L13" s="330">
        <f>787876.52</f>
        <v>787876.52</v>
      </c>
      <c r="M13" s="330">
        <f>385981.04</f>
        <v>385981.04</v>
      </c>
      <c r="N13" s="330">
        <f>22050</f>
        <v>22050</v>
      </c>
      <c r="O13" s="330">
        <f>249293200</f>
        <v>249293200</v>
      </c>
      <c r="P13" s="330">
        <f>0</f>
        <v>0</v>
      </c>
      <c r="Q13" s="330">
        <f>249293200</f>
        <v>249293200</v>
      </c>
    </row>
    <row r="14" spans="1:17" ht="20.25" customHeight="1">
      <c r="A14" s="537" t="s">
        <v>624</v>
      </c>
      <c r="B14" s="330">
        <f>181100000</f>
        <v>181100000</v>
      </c>
      <c r="C14" s="330">
        <f>181100000</f>
        <v>181100000</v>
      </c>
      <c r="D14" s="330">
        <f>0</f>
        <v>0</v>
      </c>
      <c r="E14" s="330">
        <f>0</f>
        <v>0</v>
      </c>
      <c r="F14" s="330">
        <f>0</f>
        <v>0</v>
      </c>
      <c r="G14" s="330">
        <f>0</f>
        <v>0</v>
      </c>
      <c r="H14" s="330">
        <f>0</f>
        <v>0</v>
      </c>
      <c r="I14" s="330">
        <f>0</f>
        <v>0</v>
      </c>
      <c r="J14" s="330">
        <f>181100000</f>
        <v>181100000</v>
      </c>
      <c r="K14" s="330">
        <f>0</f>
        <v>0</v>
      </c>
      <c r="L14" s="330">
        <f>0</f>
        <v>0</v>
      </c>
      <c r="M14" s="330">
        <f>0</f>
        <v>0</v>
      </c>
      <c r="N14" s="330">
        <f>0</f>
        <v>0</v>
      </c>
      <c r="O14" s="330">
        <f>0</f>
        <v>0</v>
      </c>
      <c r="P14" s="330">
        <f>0</f>
        <v>0</v>
      </c>
      <c r="Q14" s="330">
        <f>0</f>
        <v>0</v>
      </c>
    </row>
    <row r="15" spans="1:17" ht="15" customHeight="1">
      <c r="A15" s="538" t="s">
        <v>625</v>
      </c>
      <c r="B15" s="330">
        <f>0</f>
        <v>0</v>
      </c>
      <c r="C15" s="330">
        <f>0</f>
        <v>0</v>
      </c>
      <c r="D15" s="330">
        <f>0</f>
        <v>0</v>
      </c>
      <c r="E15" s="330">
        <f>0</f>
        <v>0</v>
      </c>
      <c r="F15" s="330">
        <f>0</f>
        <v>0</v>
      </c>
      <c r="G15" s="330">
        <f>0</f>
        <v>0</v>
      </c>
      <c r="H15" s="330">
        <f>0</f>
        <v>0</v>
      </c>
      <c r="I15" s="330">
        <f>0</f>
        <v>0</v>
      </c>
      <c r="J15" s="330">
        <f>0</f>
        <v>0</v>
      </c>
      <c r="K15" s="330">
        <f>0</f>
        <v>0</v>
      </c>
      <c r="L15" s="330">
        <f>0</f>
        <v>0</v>
      </c>
      <c r="M15" s="330">
        <f>0</f>
        <v>0</v>
      </c>
      <c r="N15" s="330">
        <f>0</f>
        <v>0</v>
      </c>
      <c r="O15" s="330">
        <f>0</f>
        <v>0</v>
      </c>
      <c r="P15" s="330">
        <f>0</f>
        <v>0</v>
      </c>
      <c r="Q15" s="330">
        <f>0</f>
        <v>0</v>
      </c>
    </row>
    <row r="16" spans="1:17" ht="16.5" customHeight="1">
      <c r="A16" s="538" t="s">
        <v>626</v>
      </c>
      <c r="B16" s="330">
        <f>181100000</f>
        <v>181100000</v>
      </c>
      <c r="C16" s="330">
        <f>181100000</f>
        <v>181100000</v>
      </c>
      <c r="D16" s="330">
        <f>0</f>
        <v>0</v>
      </c>
      <c r="E16" s="330">
        <f>0</f>
        <v>0</v>
      </c>
      <c r="F16" s="330">
        <f>0</f>
        <v>0</v>
      </c>
      <c r="G16" s="330">
        <f>0</f>
        <v>0</v>
      </c>
      <c r="H16" s="330">
        <f>0</f>
        <v>0</v>
      </c>
      <c r="I16" s="330">
        <f>0</f>
        <v>0</v>
      </c>
      <c r="J16" s="330">
        <f>181100000</f>
        <v>181100000</v>
      </c>
      <c r="K16" s="330">
        <f>0</f>
        <v>0</v>
      </c>
      <c r="L16" s="330">
        <f>0</f>
        <v>0</v>
      </c>
      <c r="M16" s="330">
        <f>0</f>
        <v>0</v>
      </c>
      <c r="N16" s="330">
        <f>0</f>
        <v>0</v>
      </c>
      <c r="O16" s="330">
        <f>0</f>
        <v>0</v>
      </c>
      <c r="P16" s="330">
        <f>0</f>
        <v>0</v>
      </c>
      <c r="Q16" s="330">
        <f>0</f>
        <v>0</v>
      </c>
    </row>
    <row r="17" spans="1:17" ht="21" customHeight="1">
      <c r="A17" s="539" t="s">
        <v>627</v>
      </c>
      <c r="B17" s="330">
        <f>1523809603.06</f>
        <v>1523809603.06</v>
      </c>
      <c r="C17" s="330">
        <f>1274516403.06</f>
        <v>1274516403.06</v>
      </c>
      <c r="D17" s="330">
        <f>340959846.33</f>
        <v>340959846.33</v>
      </c>
      <c r="E17" s="330">
        <f>340639846.33</f>
        <v>340639846.33</v>
      </c>
      <c r="F17" s="330">
        <f>0</f>
        <v>0</v>
      </c>
      <c r="G17" s="330">
        <f>320000</f>
        <v>320000</v>
      </c>
      <c r="H17" s="330">
        <f>0</f>
        <v>0</v>
      </c>
      <c r="I17" s="330">
        <f>0</f>
        <v>0</v>
      </c>
      <c r="J17" s="330">
        <f>933556556.73</f>
        <v>933556556.73</v>
      </c>
      <c r="K17" s="330">
        <f>0</f>
        <v>0</v>
      </c>
      <c r="L17" s="330">
        <f>0</f>
        <v>0</v>
      </c>
      <c r="M17" s="330">
        <f>0</f>
        <v>0</v>
      </c>
      <c r="N17" s="330">
        <f>0</f>
        <v>0</v>
      </c>
      <c r="O17" s="330">
        <f>249293200</f>
        <v>249293200</v>
      </c>
      <c r="P17" s="330">
        <f>0</f>
        <v>0</v>
      </c>
      <c r="Q17" s="330">
        <f>249293200</f>
        <v>249293200</v>
      </c>
    </row>
    <row r="18" spans="1:17" ht="15" customHeight="1">
      <c r="A18" s="540" t="s">
        <v>628</v>
      </c>
      <c r="B18" s="330">
        <f>189261871.8</f>
        <v>189261871.8</v>
      </c>
      <c r="C18" s="330">
        <f>189261871.8</f>
        <v>189261871.8</v>
      </c>
      <c r="D18" s="330">
        <f>111232543.52</f>
        <v>111232543.52</v>
      </c>
      <c r="E18" s="330">
        <f>111232543.52</f>
        <v>111232543.52</v>
      </c>
      <c r="F18" s="330">
        <f>0</f>
        <v>0</v>
      </c>
      <c r="G18" s="330">
        <f>0</f>
        <v>0</v>
      </c>
      <c r="H18" s="330">
        <f>0</f>
        <v>0</v>
      </c>
      <c r="I18" s="330">
        <f>0</f>
        <v>0</v>
      </c>
      <c r="J18" s="330">
        <f>78029328.28</f>
        <v>78029328.28</v>
      </c>
      <c r="K18" s="330">
        <f>0</f>
        <v>0</v>
      </c>
      <c r="L18" s="330">
        <f>0</f>
        <v>0</v>
      </c>
      <c r="M18" s="330">
        <f>0</f>
        <v>0</v>
      </c>
      <c r="N18" s="330">
        <f>0</f>
        <v>0</v>
      </c>
      <c r="O18" s="330">
        <f>0</f>
        <v>0</v>
      </c>
      <c r="P18" s="330">
        <f>0</f>
        <v>0</v>
      </c>
      <c r="Q18" s="330">
        <f>0</f>
        <v>0</v>
      </c>
    </row>
    <row r="19" spans="1:17" ht="15" customHeight="1">
      <c r="A19" s="541" t="s">
        <v>629</v>
      </c>
      <c r="B19" s="330">
        <f>1334547731.26</f>
        <v>1334547731.26</v>
      </c>
      <c r="C19" s="330">
        <f>1085254531.26</f>
        <v>1085254531.26</v>
      </c>
      <c r="D19" s="330">
        <f>229727302.81</f>
        <v>229727302.81</v>
      </c>
      <c r="E19" s="330">
        <f>229407302.81</f>
        <v>229407302.81</v>
      </c>
      <c r="F19" s="330">
        <f>0</f>
        <v>0</v>
      </c>
      <c r="G19" s="330">
        <f>320000</f>
        <v>320000</v>
      </c>
      <c r="H19" s="330">
        <f>0</f>
        <v>0</v>
      </c>
      <c r="I19" s="330">
        <f>0</f>
        <v>0</v>
      </c>
      <c r="J19" s="330">
        <f>855527228.45</f>
        <v>855527228.45</v>
      </c>
      <c r="K19" s="330">
        <f>0</f>
        <v>0</v>
      </c>
      <c r="L19" s="330">
        <f>0</f>
        <v>0</v>
      </c>
      <c r="M19" s="330">
        <f>0</f>
        <v>0</v>
      </c>
      <c r="N19" s="330">
        <f>0</f>
        <v>0</v>
      </c>
      <c r="O19" s="330">
        <f>249293200</f>
        <v>249293200</v>
      </c>
      <c r="P19" s="330">
        <f>0</f>
        <v>0</v>
      </c>
      <c r="Q19" s="330">
        <f>249293200</f>
        <v>249293200</v>
      </c>
    </row>
    <row r="20" spans="1:17" ht="17.25" customHeight="1">
      <c r="A20" s="542" t="s">
        <v>630</v>
      </c>
      <c r="B20" s="330">
        <f>0</f>
        <v>0</v>
      </c>
      <c r="C20" s="330">
        <f>0</f>
        <v>0</v>
      </c>
      <c r="D20" s="330">
        <f>0</f>
        <v>0</v>
      </c>
      <c r="E20" s="330">
        <f>0</f>
        <v>0</v>
      </c>
      <c r="F20" s="330">
        <f>0</f>
        <v>0</v>
      </c>
      <c r="G20" s="330">
        <f>0</f>
        <v>0</v>
      </c>
      <c r="H20" s="330">
        <f>0</f>
        <v>0</v>
      </c>
      <c r="I20" s="330">
        <f>0</f>
        <v>0</v>
      </c>
      <c r="J20" s="330">
        <f>0</f>
        <v>0</v>
      </c>
      <c r="K20" s="330">
        <f>0</f>
        <v>0</v>
      </c>
      <c r="L20" s="330">
        <f>0</f>
        <v>0</v>
      </c>
      <c r="M20" s="330">
        <f>0</f>
        <v>0</v>
      </c>
      <c r="N20" s="330">
        <f>0</f>
        <v>0</v>
      </c>
      <c r="O20" s="330">
        <f>0</f>
        <v>0</v>
      </c>
      <c r="P20" s="330">
        <f>0</f>
        <v>0</v>
      </c>
      <c r="Q20" s="330">
        <f>0</f>
        <v>0</v>
      </c>
    </row>
    <row r="21" spans="1:17" ht="20.25" customHeight="1">
      <c r="A21" s="537" t="s">
        <v>631</v>
      </c>
      <c r="B21" s="330">
        <f>2489178.86</f>
        <v>2489178.86</v>
      </c>
      <c r="C21" s="330">
        <f>2489178.86</f>
        <v>2489178.86</v>
      </c>
      <c r="D21" s="330">
        <f>1285925.58</f>
        <v>1285925.58</v>
      </c>
      <c r="E21" s="330">
        <f>382.5</f>
        <v>382.5</v>
      </c>
      <c r="F21" s="330">
        <f>27807.86</f>
        <v>27807.86</v>
      </c>
      <c r="G21" s="330">
        <f>560142.37</f>
        <v>560142.37</v>
      </c>
      <c r="H21" s="330">
        <f>697592.85</f>
        <v>697592.85</v>
      </c>
      <c r="I21" s="330">
        <f>0</f>
        <v>0</v>
      </c>
      <c r="J21" s="330">
        <f>0</f>
        <v>0</v>
      </c>
      <c r="K21" s="330">
        <f>7345.72</f>
        <v>7345.72</v>
      </c>
      <c r="L21" s="330">
        <f>787876.52</f>
        <v>787876.52</v>
      </c>
      <c r="M21" s="330">
        <f>385981.04</f>
        <v>385981.04</v>
      </c>
      <c r="N21" s="330">
        <f>22050</f>
        <v>22050</v>
      </c>
      <c r="O21" s="330">
        <f>0</f>
        <v>0</v>
      </c>
      <c r="P21" s="330">
        <f>0</f>
        <v>0</v>
      </c>
      <c r="Q21" s="330">
        <f>0</f>
        <v>0</v>
      </c>
    </row>
    <row r="22" spans="1:17" ht="19.5">
      <c r="A22" s="538" t="s">
        <v>632</v>
      </c>
      <c r="B22" s="330">
        <f>960966.86</f>
        <v>960966.86</v>
      </c>
      <c r="C22" s="330">
        <f>960966.86</f>
        <v>960966.86</v>
      </c>
      <c r="D22" s="330">
        <f>61327.35</f>
        <v>61327.35</v>
      </c>
      <c r="E22" s="330">
        <f>382.5</f>
        <v>382.5</v>
      </c>
      <c r="F22" s="330">
        <f>11190</f>
        <v>11190</v>
      </c>
      <c r="G22" s="330">
        <f>49754.85</f>
        <v>49754.85</v>
      </c>
      <c r="H22" s="330">
        <f>0</f>
        <v>0</v>
      </c>
      <c r="I22" s="330">
        <f>0</f>
        <v>0</v>
      </c>
      <c r="J22" s="330">
        <f>0</f>
        <v>0</v>
      </c>
      <c r="K22" s="330">
        <f>0</f>
        <v>0</v>
      </c>
      <c r="L22" s="330">
        <f>787876.52</f>
        <v>787876.52</v>
      </c>
      <c r="M22" s="330">
        <f>111252.99</f>
        <v>111252.99</v>
      </c>
      <c r="N22" s="330">
        <f>510</f>
        <v>510</v>
      </c>
      <c r="O22" s="330">
        <f>0</f>
        <v>0</v>
      </c>
      <c r="P22" s="330">
        <f>0</f>
        <v>0</v>
      </c>
      <c r="Q22" s="330">
        <f>0</f>
        <v>0</v>
      </c>
    </row>
    <row r="23" spans="1:17" ht="19.5" customHeight="1" thickBot="1">
      <c r="A23" s="543" t="s">
        <v>633</v>
      </c>
      <c r="B23" s="330">
        <f>1528212</f>
        <v>1528212</v>
      </c>
      <c r="C23" s="330">
        <f>1528212</f>
        <v>1528212</v>
      </c>
      <c r="D23" s="330">
        <f>1224598.23</f>
        <v>1224598.23</v>
      </c>
      <c r="E23" s="330">
        <f>0</f>
        <v>0</v>
      </c>
      <c r="F23" s="330">
        <f>16617.86</f>
        <v>16617.86</v>
      </c>
      <c r="G23" s="330">
        <f>510387.52</f>
        <v>510387.52</v>
      </c>
      <c r="H23" s="330">
        <f>697592.85</f>
        <v>697592.85</v>
      </c>
      <c r="I23" s="330">
        <f>0</f>
        <v>0</v>
      </c>
      <c r="J23" s="330">
        <f>0</f>
        <v>0</v>
      </c>
      <c r="K23" s="330">
        <f>7345.72</f>
        <v>7345.72</v>
      </c>
      <c r="L23" s="330">
        <f>0</f>
        <v>0</v>
      </c>
      <c r="M23" s="330">
        <f>274728.05</f>
        <v>274728.05</v>
      </c>
      <c r="N23" s="330">
        <f>21540</f>
        <v>21540</v>
      </c>
      <c r="O23" s="330">
        <f>0</f>
        <v>0</v>
      </c>
      <c r="P23" s="330">
        <f>0</f>
        <v>0</v>
      </c>
      <c r="Q23" s="330">
        <f>0</f>
        <v>0</v>
      </c>
    </row>
    <row r="24" spans="1:17" ht="75" customHeight="1">
      <c r="A24" s="781" t="str">
        <f>CONCATENATE("Informacja z wykonania budżetów województw za   ",$C$51," ",$B$52," roku")</f>
        <v>Informacja z wykonania budżetów województw za   2 kwartały 2008 roku</v>
      </c>
      <c r="B24" s="781"/>
      <c r="C24" s="781"/>
      <c r="D24" s="781"/>
      <c r="E24" s="781"/>
      <c r="F24" s="781"/>
      <c r="G24" s="781"/>
      <c r="H24" s="781"/>
      <c r="I24" s="781"/>
      <c r="J24" s="781"/>
      <c r="K24" s="781"/>
      <c r="L24" s="781"/>
      <c r="M24" s="781"/>
      <c r="N24" s="327"/>
      <c r="O24" s="327"/>
      <c r="P24" s="327"/>
      <c r="Q24" s="327"/>
    </row>
    <row r="25" spans="1:17" ht="13.5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327"/>
      <c r="O25" s="327"/>
      <c r="P25" s="327"/>
      <c r="Q25" s="327"/>
    </row>
    <row r="26" spans="1:17" ht="13.5" customHeight="1">
      <c r="A26" s="327"/>
      <c r="B26" s="639" t="s">
        <v>662</v>
      </c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327"/>
      <c r="O26" s="327"/>
      <c r="P26" s="327"/>
      <c r="Q26" s="327"/>
    </row>
    <row r="27" spans="1:17" ht="13.5" customHeight="1">
      <c r="A27" s="327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</row>
    <row r="28" spans="1:17" ht="13.5" customHeight="1">
      <c r="A28" s="327"/>
      <c r="B28" s="622" t="s">
        <v>460</v>
      </c>
      <c r="C28" s="623"/>
      <c r="D28" s="623"/>
      <c r="E28" s="624"/>
      <c r="F28" s="703" t="s">
        <v>663</v>
      </c>
      <c r="G28" s="627" t="s">
        <v>664</v>
      </c>
      <c r="H28" s="617"/>
      <c r="I28" s="617"/>
      <c r="J28" s="617"/>
      <c r="K28" s="617"/>
      <c r="L28" s="618"/>
      <c r="M28" s="327"/>
      <c r="N28" s="327"/>
      <c r="O28" s="327"/>
      <c r="P28" s="327"/>
      <c r="Q28" s="327"/>
    </row>
    <row r="29" spans="1:17" ht="13.5" customHeight="1">
      <c r="A29" s="327"/>
      <c r="B29" s="625"/>
      <c r="C29" s="615"/>
      <c r="D29" s="615"/>
      <c r="E29" s="616"/>
      <c r="F29" s="704"/>
      <c r="G29" s="706" t="s">
        <v>665</v>
      </c>
      <c r="H29" s="650" t="s">
        <v>610</v>
      </c>
      <c r="I29" s="650" t="s">
        <v>611</v>
      </c>
      <c r="J29" s="650" t="s">
        <v>642</v>
      </c>
      <c r="K29" s="650" t="s">
        <v>666</v>
      </c>
      <c r="L29" s="651" t="s">
        <v>667</v>
      </c>
      <c r="M29" s="327"/>
      <c r="N29" s="327"/>
      <c r="O29" s="327"/>
      <c r="P29" s="327"/>
      <c r="Q29" s="327"/>
    </row>
    <row r="30" spans="1:17" ht="13.5" customHeight="1">
      <c r="A30" s="327"/>
      <c r="B30" s="625"/>
      <c r="C30" s="615"/>
      <c r="D30" s="615"/>
      <c r="E30" s="616"/>
      <c r="F30" s="704"/>
      <c r="G30" s="706"/>
      <c r="H30" s="650"/>
      <c r="I30" s="650"/>
      <c r="J30" s="650"/>
      <c r="K30" s="650"/>
      <c r="L30" s="651"/>
      <c r="M30" s="327"/>
      <c r="N30" s="327"/>
      <c r="O30" s="327"/>
      <c r="P30" s="327"/>
      <c r="Q30" s="327"/>
    </row>
    <row r="31" spans="1:17" ht="11.25" customHeight="1">
      <c r="A31" s="327"/>
      <c r="B31" s="625"/>
      <c r="C31" s="615"/>
      <c r="D31" s="615"/>
      <c r="E31" s="616"/>
      <c r="F31" s="704"/>
      <c r="G31" s="706"/>
      <c r="H31" s="650"/>
      <c r="I31" s="650"/>
      <c r="J31" s="650"/>
      <c r="K31" s="650"/>
      <c r="L31" s="651"/>
      <c r="M31" s="327"/>
      <c r="N31" s="327"/>
      <c r="O31" s="327"/>
      <c r="P31" s="327"/>
      <c r="Q31" s="327"/>
    </row>
    <row r="32" spans="1:17" ht="11.25" customHeight="1">
      <c r="A32" s="327"/>
      <c r="B32" s="700"/>
      <c r="C32" s="701"/>
      <c r="D32" s="701"/>
      <c r="E32" s="702"/>
      <c r="F32" s="705"/>
      <c r="G32" s="706"/>
      <c r="H32" s="650"/>
      <c r="I32" s="650"/>
      <c r="J32" s="650"/>
      <c r="K32" s="650"/>
      <c r="L32" s="651"/>
      <c r="M32" s="327"/>
      <c r="N32" s="327"/>
      <c r="O32" s="327"/>
      <c r="P32" s="327"/>
      <c r="Q32" s="327"/>
    </row>
    <row r="33" spans="1:17" ht="13.5" customHeight="1">
      <c r="A33" s="327"/>
      <c r="B33" s="650">
        <v>1</v>
      </c>
      <c r="C33" s="650"/>
      <c r="D33" s="650"/>
      <c r="E33" s="650"/>
      <c r="F33" s="332">
        <v>2</v>
      </c>
      <c r="G33" s="332">
        <v>3</v>
      </c>
      <c r="H33" s="332">
        <v>4</v>
      </c>
      <c r="I33" s="332">
        <v>5</v>
      </c>
      <c r="J33" s="332">
        <v>6</v>
      </c>
      <c r="K33" s="332">
        <v>7</v>
      </c>
      <c r="L33" s="333">
        <v>8</v>
      </c>
      <c r="M33" s="327"/>
      <c r="N33" s="327"/>
      <c r="O33" s="327"/>
      <c r="P33" s="327"/>
      <c r="Q33" s="327"/>
    </row>
    <row r="34" spans="1:17" ht="33.75" customHeight="1">
      <c r="A34" s="327"/>
      <c r="B34" s="619" t="s">
        <v>668</v>
      </c>
      <c r="C34" s="620"/>
      <c r="D34" s="620"/>
      <c r="E34" s="621"/>
      <c r="F34" s="330">
        <f>1059855888.74</f>
        <v>1059855888.74</v>
      </c>
      <c r="G34" s="330">
        <f>988096086.06</f>
        <v>988096086.06</v>
      </c>
      <c r="H34" s="330">
        <f>94986258.13</f>
        <v>94986258.13</v>
      </c>
      <c r="I34" s="330">
        <f>978386</f>
        <v>978386</v>
      </c>
      <c r="J34" s="330">
        <f>892131441.93</f>
        <v>892131441.93</v>
      </c>
      <c r="K34" s="330">
        <f>0</f>
        <v>0</v>
      </c>
      <c r="L34" s="330">
        <f>71759802.68</f>
        <v>71759802.68</v>
      </c>
      <c r="M34" s="327"/>
      <c r="N34" s="327"/>
      <c r="O34" s="327"/>
      <c r="P34" s="327"/>
      <c r="Q34" s="327"/>
    </row>
    <row r="35" spans="1:17" ht="33.75" customHeight="1">
      <c r="A35" s="327"/>
      <c r="B35" s="619" t="s">
        <v>669</v>
      </c>
      <c r="C35" s="620"/>
      <c r="D35" s="620"/>
      <c r="E35" s="621"/>
      <c r="F35" s="330">
        <f>5872440</f>
        <v>5872440</v>
      </c>
      <c r="G35" s="330">
        <f>5872440</f>
        <v>5872440</v>
      </c>
      <c r="H35" s="330">
        <f>0</f>
        <v>0</v>
      </c>
      <c r="I35" s="330">
        <f>0</f>
        <v>0</v>
      </c>
      <c r="J35" s="330">
        <f>5872440</f>
        <v>5872440</v>
      </c>
      <c r="K35" s="330">
        <f>0</f>
        <v>0</v>
      </c>
      <c r="L35" s="330">
        <f>0</f>
        <v>0</v>
      </c>
      <c r="M35" s="327"/>
      <c r="N35" s="327"/>
      <c r="O35" s="327"/>
      <c r="P35" s="327"/>
      <c r="Q35" s="327"/>
    </row>
    <row r="36" spans="1:17" ht="33.75" customHeight="1">
      <c r="A36" s="327"/>
      <c r="B36" s="619" t="s">
        <v>670</v>
      </c>
      <c r="C36" s="620"/>
      <c r="D36" s="620"/>
      <c r="E36" s="621"/>
      <c r="F36" s="330">
        <f>149615865.96</f>
        <v>149615865.96</v>
      </c>
      <c r="G36" s="330">
        <f>147615865.96</f>
        <v>147615865.96</v>
      </c>
      <c r="H36" s="330">
        <f>210621.41</f>
        <v>210621.41</v>
      </c>
      <c r="I36" s="330">
        <f>0</f>
        <v>0</v>
      </c>
      <c r="J36" s="330">
        <f>147405244.55</f>
        <v>147405244.55</v>
      </c>
      <c r="K36" s="330">
        <f>0</f>
        <v>0</v>
      </c>
      <c r="L36" s="330">
        <f>2000000</f>
        <v>2000000</v>
      </c>
      <c r="M36" s="327"/>
      <c r="N36" s="327"/>
      <c r="O36" s="327"/>
      <c r="P36" s="327"/>
      <c r="Q36" s="327"/>
    </row>
    <row r="37" spans="1:17" ht="22.5" customHeight="1">
      <c r="A37" s="327"/>
      <c r="B37" s="619" t="s">
        <v>671</v>
      </c>
      <c r="C37" s="620"/>
      <c r="D37" s="620"/>
      <c r="E37" s="621"/>
      <c r="F37" s="330">
        <f>9397446.35</f>
        <v>9397446.35</v>
      </c>
      <c r="G37" s="330">
        <f>9155766.35</f>
        <v>9155766.35</v>
      </c>
      <c r="H37" s="330">
        <f>0</f>
        <v>0</v>
      </c>
      <c r="I37" s="330">
        <f>0</f>
        <v>0</v>
      </c>
      <c r="J37" s="330">
        <f>9155766.35</f>
        <v>9155766.35</v>
      </c>
      <c r="K37" s="330">
        <f>0</f>
        <v>0</v>
      </c>
      <c r="L37" s="330">
        <f>241680</f>
        <v>241680</v>
      </c>
      <c r="M37" s="327"/>
      <c r="N37" s="327"/>
      <c r="O37" s="327"/>
      <c r="P37" s="327"/>
      <c r="Q37" s="327"/>
    </row>
    <row r="38" spans="1:17" ht="33.75" customHeight="1">
      <c r="A38" s="327"/>
      <c r="B38" s="619" t="s">
        <v>672</v>
      </c>
      <c r="C38" s="620"/>
      <c r="D38" s="620"/>
      <c r="E38" s="621"/>
      <c r="F38" s="330">
        <f>97456.61</f>
        <v>97456.61</v>
      </c>
      <c r="G38" s="330">
        <f>97456.61</f>
        <v>97456.61</v>
      </c>
      <c r="H38" s="330">
        <f>0</f>
        <v>0</v>
      </c>
      <c r="I38" s="330">
        <f>0</f>
        <v>0</v>
      </c>
      <c r="J38" s="330">
        <f>97456.61</f>
        <v>97456.61</v>
      </c>
      <c r="K38" s="330">
        <f>0</f>
        <v>0</v>
      </c>
      <c r="L38" s="330">
        <f>0</f>
        <v>0</v>
      </c>
      <c r="M38" s="327"/>
      <c r="N38" s="327"/>
      <c r="O38" s="327"/>
      <c r="P38" s="327"/>
      <c r="Q38" s="327"/>
    </row>
    <row r="39" spans="1:17" ht="33.75" customHeight="1">
      <c r="A39" s="327"/>
      <c r="B39" s="619" t="s">
        <v>673</v>
      </c>
      <c r="C39" s="620"/>
      <c r="D39" s="620"/>
      <c r="E39" s="621"/>
      <c r="F39" s="330">
        <f>2044177.69</f>
        <v>2044177.69</v>
      </c>
      <c r="G39" s="330">
        <f>2044177.69</f>
        <v>2044177.69</v>
      </c>
      <c r="H39" s="330">
        <f>0</f>
        <v>0</v>
      </c>
      <c r="I39" s="330">
        <f>0</f>
        <v>0</v>
      </c>
      <c r="J39" s="330">
        <f>2044177.69</f>
        <v>2044177.69</v>
      </c>
      <c r="K39" s="330">
        <f>0</f>
        <v>0</v>
      </c>
      <c r="L39" s="330">
        <f>0</f>
        <v>0</v>
      </c>
      <c r="M39" s="327"/>
      <c r="N39" s="327"/>
      <c r="O39" s="327"/>
      <c r="P39" s="327"/>
      <c r="Q39" s="327"/>
    </row>
    <row r="40" spans="1:17" ht="22.5" customHeight="1">
      <c r="A40" s="327"/>
      <c r="B40" s="619" t="s">
        <v>674</v>
      </c>
      <c r="C40" s="620"/>
      <c r="D40" s="620"/>
      <c r="E40" s="621"/>
      <c r="F40" s="330">
        <f>67126.99</f>
        <v>67126.99</v>
      </c>
      <c r="G40" s="330">
        <f>67126.99</f>
        <v>67126.99</v>
      </c>
      <c r="H40" s="330">
        <f>0</f>
        <v>0</v>
      </c>
      <c r="I40" s="330">
        <f>0</f>
        <v>0</v>
      </c>
      <c r="J40" s="330">
        <f>67126.99</f>
        <v>67126.99</v>
      </c>
      <c r="K40" s="330">
        <f>0</f>
        <v>0</v>
      </c>
      <c r="L40" s="330">
        <f>0</f>
        <v>0</v>
      </c>
      <c r="M40" s="327"/>
      <c r="N40" s="327"/>
      <c r="O40" s="327"/>
      <c r="P40" s="327"/>
      <c r="Q40" s="327"/>
    </row>
    <row r="41" spans="1:17" ht="13.5" customHeight="1">
      <c r="A41" s="327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</row>
    <row r="42" spans="1:17" ht="13.5" customHeight="1">
      <c r="A42" s="327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</row>
    <row r="43" spans="1:17" ht="75" customHeight="1">
      <c r="A43" s="637" t="str">
        <f>CONCATENATE("Informacja z wykonania budżetów województw za  ",$C$51," ",$B$52," roku")</f>
        <v>Informacja z wykonania budżetów województw za  2 kwartały 2008 roku</v>
      </c>
      <c r="B43" s="637"/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327"/>
      <c r="O43" s="327"/>
      <c r="P43" s="327"/>
      <c r="Q43" s="327"/>
    </row>
    <row r="44" spans="1:17" ht="13.5" customHeight="1">
      <c r="A44" s="327"/>
      <c r="B44" s="323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</row>
    <row r="45" spans="1:17" ht="13.5" customHeight="1">
      <c r="A45" s="327"/>
      <c r="B45" s="324"/>
      <c r="C45" s="627"/>
      <c r="D45" s="617"/>
      <c r="E45" s="617"/>
      <c r="F45" s="618"/>
      <c r="G45" s="627" t="s">
        <v>461</v>
      </c>
      <c r="H45" s="618"/>
      <c r="I45" s="627" t="s">
        <v>675</v>
      </c>
      <c r="J45" s="618"/>
      <c r="K45" s="324"/>
      <c r="L45" s="327"/>
      <c r="M45" s="327"/>
      <c r="N45" s="327"/>
      <c r="O45" s="327"/>
      <c r="P45" s="327"/>
      <c r="Q45" s="327"/>
    </row>
    <row r="46" spans="1:17" ht="13.5" customHeight="1">
      <c r="A46" s="327"/>
      <c r="B46" s="325"/>
      <c r="C46" s="619" t="s">
        <v>676</v>
      </c>
      <c r="D46" s="620"/>
      <c r="E46" s="620"/>
      <c r="F46" s="621"/>
      <c r="G46" s="631">
        <f>16</f>
        <v>16</v>
      </c>
      <c r="H46" s="632"/>
      <c r="I46" s="633">
        <f>2964837655.19</f>
        <v>2964837655.19</v>
      </c>
      <c r="J46" s="626"/>
      <c r="K46" s="326"/>
      <c r="L46" s="327"/>
      <c r="M46" s="327"/>
      <c r="N46" s="327"/>
      <c r="O46" s="327"/>
      <c r="P46" s="327"/>
      <c r="Q46" s="327"/>
    </row>
    <row r="47" spans="1:17" ht="13.5" customHeight="1">
      <c r="A47" s="327"/>
      <c r="B47" s="325"/>
      <c r="C47" s="619" t="s">
        <v>677</v>
      </c>
      <c r="D47" s="620"/>
      <c r="E47" s="620"/>
      <c r="F47" s="621"/>
      <c r="G47" s="631">
        <f>0</f>
        <v>0</v>
      </c>
      <c r="H47" s="632"/>
      <c r="I47" s="633">
        <f>0</f>
        <v>0</v>
      </c>
      <c r="J47" s="626"/>
      <c r="K47" s="326"/>
      <c r="L47" s="327"/>
      <c r="M47" s="327"/>
      <c r="N47" s="327"/>
      <c r="O47" s="327"/>
      <c r="P47" s="327"/>
      <c r="Q47" s="327"/>
    </row>
    <row r="48" spans="1:17" ht="13.5" customHeight="1">
      <c r="A48" s="327"/>
      <c r="B48" s="325"/>
      <c r="C48" s="619" t="s">
        <v>678</v>
      </c>
      <c r="D48" s="620"/>
      <c r="E48" s="620"/>
      <c r="F48" s="621"/>
      <c r="G48" s="631">
        <f>0</f>
        <v>0</v>
      </c>
      <c r="H48" s="632"/>
      <c r="I48" s="633">
        <f>0</f>
        <v>0</v>
      </c>
      <c r="J48" s="626"/>
      <c r="K48" s="326"/>
      <c r="L48" s="327"/>
      <c r="M48" s="327"/>
      <c r="N48" s="327"/>
      <c r="O48" s="327"/>
      <c r="P48" s="327"/>
      <c r="Q48" s="327"/>
    </row>
    <row r="49" spans="1:17" ht="13.5" customHeight="1">
      <c r="A49" s="327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</row>
    <row r="50" spans="1:17" ht="13.5" customHeight="1">
      <c r="A50" s="327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</row>
    <row r="51" spans="1:17" ht="13.5" customHeight="1">
      <c r="A51" s="544" t="s">
        <v>586</v>
      </c>
      <c r="B51" s="544">
        <f>2</f>
        <v>2</v>
      </c>
      <c r="C51" s="544" t="s">
        <v>697</v>
      </c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</row>
    <row r="52" spans="1:17" ht="13.5" customHeight="1">
      <c r="A52" s="544" t="s">
        <v>587</v>
      </c>
      <c r="B52" s="544">
        <f>2008</f>
        <v>2008</v>
      </c>
      <c r="C52" s="545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</row>
    <row r="53" spans="1:17" ht="13.5" customHeight="1">
      <c r="A53" s="544" t="s">
        <v>588</v>
      </c>
      <c r="B53" s="546" t="str">
        <f>"Aug 18 2008 12:00AM"</f>
        <v>Aug 18 2008 12:00AM</v>
      </c>
      <c r="C53" s="545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</row>
  </sheetData>
  <mergeCells count="54">
    <mergeCell ref="O6:Q6"/>
    <mergeCell ref="O7:O11"/>
    <mergeCell ref="A24:M24"/>
    <mergeCell ref="H7:H11"/>
    <mergeCell ref="G7:G11"/>
    <mergeCell ref="F7:F11"/>
    <mergeCell ref="I7:I11"/>
    <mergeCell ref="J7:J11"/>
    <mergeCell ref="Q7:Q11"/>
    <mergeCell ref="L7:L11"/>
    <mergeCell ref="B39:E39"/>
    <mergeCell ref="I46:J46"/>
    <mergeCell ref="B26:M26"/>
    <mergeCell ref="I45:J45"/>
    <mergeCell ref="B33:E33"/>
    <mergeCell ref="B28:E32"/>
    <mergeCell ref="B40:E40"/>
    <mergeCell ref="A43:M43"/>
    <mergeCell ref="B36:E36"/>
    <mergeCell ref="B37:E37"/>
    <mergeCell ref="G48:H48"/>
    <mergeCell ref="I48:J48"/>
    <mergeCell ref="C45:F45"/>
    <mergeCell ref="C46:F46"/>
    <mergeCell ref="C47:F47"/>
    <mergeCell ref="C48:F48"/>
    <mergeCell ref="G46:H46"/>
    <mergeCell ref="G45:H45"/>
    <mergeCell ref="G47:H47"/>
    <mergeCell ref="I47:J47"/>
    <mergeCell ref="B38:E38"/>
    <mergeCell ref="B35:E35"/>
    <mergeCell ref="B34:E34"/>
    <mergeCell ref="F28:F32"/>
    <mergeCell ref="G29:G32"/>
    <mergeCell ref="G28:L28"/>
    <mergeCell ref="H29:H32"/>
    <mergeCell ref="I29:I32"/>
    <mergeCell ref="J29:J32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M7:M11"/>
    <mergeCell ref="N7:N11"/>
    <mergeCell ref="P7:P11"/>
    <mergeCell ref="K29:K32"/>
    <mergeCell ref="L29:L32"/>
  </mergeCells>
  <printOptions/>
  <pageMargins left="0.1968503937007874" right="0.1968503937007874" top="0.1968503937007874" bottom="0.1968503937007874" header="0" footer="0"/>
  <pageSetup horizontalDpi="300" verticalDpi="300" orientation="landscape" paperSize="9" scale="69" r:id="rId1"/>
  <headerFooter alignWithMargins="0">
    <oddFooter>&amp;Rstr. &amp;P z &amp;N</oddFooter>
  </headerFooter>
  <rowBreaks count="1" manualBreakCount="1">
    <brk id="2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0"/>
  <dimension ref="A1:AA95"/>
  <sheetViews>
    <sheetView showGridLines="0" workbookViewId="0" topLeftCell="B68">
      <selection activeCell="A24" sqref="A24:M24"/>
    </sheetView>
  </sheetViews>
  <sheetFormatPr defaultColWidth="9.140625" defaultRowHeight="12.75"/>
  <cols>
    <col min="1" max="1" width="5.7109375" style="563" hidden="1" customWidth="1"/>
    <col min="2" max="2" width="22.8515625" style="563" customWidth="1"/>
    <col min="3" max="5" width="14.57421875" style="563" customWidth="1"/>
    <col min="6" max="6" width="13.8515625" style="563" customWidth="1"/>
    <col min="7" max="10" width="13.00390625" style="563" customWidth="1"/>
    <col min="11" max="11" width="7.421875" style="563" customWidth="1"/>
    <col min="12" max="12" width="7.00390625" style="563" customWidth="1"/>
    <col min="13" max="13" width="8.140625" style="563" hidden="1" customWidth="1"/>
    <col min="14" max="16384" width="9.140625" style="563" customWidth="1"/>
  </cols>
  <sheetData>
    <row r="1" spans="2:13" ht="75" customHeight="1">
      <c r="B1" s="856" t="str">
        <f>CONCATENATE("Informacja z wykonania budżetów związków jednostek samorządu terytorialnego za ",$D$84," ",$C$85," roku")</f>
        <v>Informacja z wykonania budżetów związków jednostek samorządu terytorialnego za 2 kwartały 2008 roku</v>
      </c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</row>
    <row r="2" spans="2:13" ht="12.75"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</row>
    <row r="3" spans="2:13" ht="66.75" customHeight="1">
      <c r="B3" s="853" t="s">
        <v>500</v>
      </c>
      <c r="C3" s="578" t="s">
        <v>589</v>
      </c>
      <c r="D3" s="578" t="s">
        <v>590</v>
      </c>
      <c r="E3" s="578" t="s">
        <v>591</v>
      </c>
      <c r="F3" s="579" t="s">
        <v>501</v>
      </c>
      <c r="G3" s="578" t="s">
        <v>502</v>
      </c>
      <c r="H3" s="578" t="s">
        <v>503</v>
      </c>
      <c r="I3" s="573"/>
      <c r="J3" s="573"/>
      <c r="K3" s="573"/>
      <c r="L3" s="573"/>
      <c r="M3" s="573"/>
    </row>
    <row r="4" spans="2:13" ht="12.75">
      <c r="B4" s="853"/>
      <c r="C4" s="855"/>
      <c r="D4" s="855"/>
      <c r="E4" s="855"/>
      <c r="F4" s="855" t="s">
        <v>12</v>
      </c>
      <c r="G4" s="855"/>
      <c r="H4" s="855"/>
      <c r="I4" s="573"/>
      <c r="J4" s="573"/>
      <c r="K4" s="573"/>
      <c r="L4" s="573"/>
      <c r="M4" s="573"/>
    </row>
    <row r="5" spans="2:13" ht="12.75">
      <c r="B5" s="579">
        <v>1</v>
      </c>
      <c r="C5" s="580">
        <v>2</v>
      </c>
      <c r="D5" s="580">
        <v>3</v>
      </c>
      <c r="E5" s="580">
        <v>4</v>
      </c>
      <c r="F5" s="580">
        <v>5</v>
      </c>
      <c r="G5" s="580">
        <v>6</v>
      </c>
      <c r="H5" s="580">
        <v>7</v>
      </c>
      <c r="I5" s="573"/>
      <c r="J5" s="573"/>
      <c r="K5" s="573"/>
      <c r="L5" s="573"/>
      <c r="M5" s="573"/>
    </row>
    <row r="6" spans="2:13" ht="25.5" customHeight="1">
      <c r="B6" s="581" t="s">
        <v>504</v>
      </c>
      <c r="C6" s="582">
        <f>1134108882.26</f>
        <v>1134108882.26</v>
      </c>
      <c r="D6" s="582">
        <f>519274725.69</f>
        <v>519274725.69</v>
      </c>
      <c r="E6" s="582">
        <f>546026489.16</f>
        <v>546026489.16</v>
      </c>
      <c r="F6" s="564">
        <f aca="true" t="shared" si="0" ref="F6:F20">IF($D$6=0,"",100*$D6/$D$6)</f>
        <v>100</v>
      </c>
      <c r="G6" s="564">
        <f aca="true" t="shared" si="1" ref="G6:G20">IF(C6=0,"",100*D6/C6)</f>
        <v>45.787025726772654</v>
      </c>
      <c r="H6" s="564"/>
      <c r="I6" s="573"/>
      <c r="J6" s="573"/>
      <c r="K6" s="573"/>
      <c r="L6" s="573"/>
      <c r="M6" s="573"/>
    </row>
    <row r="7" spans="2:13" ht="25.5" customHeight="1">
      <c r="B7" s="581" t="s">
        <v>505</v>
      </c>
      <c r="C7" s="582">
        <f>C6-C10</f>
        <v>1128192232.01</v>
      </c>
      <c r="D7" s="582">
        <f>D6-D10</f>
        <v>517830188.85</v>
      </c>
      <c r="E7" s="582">
        <f>E6-E10</f>
        <v>544581952.3199999</v>
      </c>
      <c r="F7" s="564">
        <f t="shared" si="0"/>
        <v>99.72181645504111</v>
      </c>
      <c r="G7" s="564">
        <f t="shared" si="1"/>
        <v>45.899109580592295</v>
      </c>
      <c r="H7" s="564">
        <f>IF($D$7=0,"",100*$D7/$D$7)</f>
        <v>100</v>
      </c>
      <c r="I7" s="573"/>
      <c r="J7" s="573"/>
      <c r="K7" s="573"/>
      <c r="L7" s="573"/>
      <c r="M7" s="573"/>
    </row>
    <row r="8" spans="2:13" ht="13.5" customHeight="1">
      <c r="B8" s="583" t="s">
        <v>518</v>
      </c>
      <c r="C8" s="584">
        <f>22466121.86</f>
        <v>22466121.86</v>
      </c>
      <c r="D8" s="585">
        <f>9945307.67</f>
        <v>9945307.67</v>
      </c>
      <c r="E8" s="584">
        <f>9824730.87</f>
        <v>9824730.87</v>
      </c>
      <c r="F8" s="565">
        <f t="shared" si="0"/>
        <v>1.915230450853334</v>
      </c>
      <c r="G8" s="565">
        <f t="shared" si="1"/>
        <v>44.268021565872516</v>
      </c>
      <c r="H8" s="565">
        <f>IF($D$7=0,"",100*$D8/$D$7)</f>
        <v>1.920573169379443</v>
      </c>
      <c r="I8" s="573"/>
      <c r="J8" s="573"/>
      <c r="K8" s="573"/>
      <c r="L8" s="573"/>
      <c r="M8" s="573"/>
    </row>
    <row r="9" spans="2:13" ht="13.5" customHeight="1">
      <c r="B9" s="583" t="s">
        <v>519</v>
      </c>
      <c r="C9" s="584">
        <f>C7-C8</f>
        <v>1105726110.15</v>
      </c>
      <c r="D9" s="584">
        <f>D7-D8</f>
        <v>507884881.18</v>
      </c>
      <c r="E9" s="584">
        <f>E7-E8</f>
        <v>534757221.4499999</v>
      </c>
      <c r="F9" s="565">
        <f t="shared" si="0"/>
        <v>97.80658600418778</v>
      </c>
      <c r="G9" s="565">
        <f t="shared" si="1"/>
        <v>45.932249995534754</v>
      </c>
      <c r="H9" s="565">
        <f>IF($D$7=0,"",100*$D9/$D$7)</f>
        <v>98.07942683062055</v>
      </c>
      <c r="I9" s="573"/>
      <c r="J9" s="573"/>
      <c r="K9" s="573"/>
      <c r="L9" s="573"/>
      <c r="M9" s="573"/>
    </row>
    <row r="10" spans="2:13" ht="25.5" customHeight="1">
      <c r="B10" s="581" t="s">
        <v>520</v>
      </c>
      <c r="C10" s="582">
        <f>C11+C13+C15+C17+C19</f>
        <v>5916650.25</v>
      </c>
      <c r="D10" s="582">
        <f>D11+D13+D15+D17+D19</f>
        <v>1444536.84</v>
      </c>
      <c r="E10" s="582">
        <f>E11+E13+E15+E17+E19</f>
        <v>1444536.84</v>
      </c>
      <c r="F10" s="564">
        <f t="shared" si="0"/>
        <v>0.2781835449588912</v>
      </c>
      <c r="G10" s="564">
        <f t="shared" si="1"/>
        <v>24.414774897333167</v>
      </c>
      <c r="H10" s="586"/>
      <c r="I10" s="573"/>
      <c r="J10" s="573"/>
      <c r="K10" s="573"/>
      <c r="L10" s="573"/>
      <c r="M10" s="573"/>
    </row>
    <row r="11" spans="2:13" ht="22.5" customHeight="1">
      <c r="B11" s="583" t="s">
        <v>522</v>
      </c>
      <c r="C11" s="584">
        <f>0</f>
        <v>0</v>
      </c>
      <c r="D11" s="584">
        <f>0</f>
        <v>0</v>
      </c>
      <c r="E11" s="584">
        <f>0</f>
        <v>0</v>
      </c>
      <c r="F11" s="565">
        <f t="shared" si="0"/>
        <v>0</v>
      </c>
      <c r="G11" s="565">
        <f t="shared" si="1"/>
      </c>
      <c r="H11" s="586"/>
      <c r="I11" s="573"/>
      <c r="J11" s="573"/>
      <c r="K11" s="573"/>
      <c r="L11" s="573"/>
      <c r="M11" s="573"/>
    </row>
    <row r="12" spans="2:13" ht="13.5" customHeight="1">
      <c r="B12" s="587" t="s">
        <v>523</v>
      </c>
      <c r="C12" s="584">
        <f>0</f>
        <v>0</v>
      </c>
      <c r="D12" s="584">
        <f>0</f>
        <v>0</v>
      </c>
      <c r="E12" s="584">
        <f>0</f>
        <v>0</v>
      </c>
      <c r="F12" s="565">
        <f t="shared" si="0"/>
        <v>0</v>
      </c>
      <c r="G12" s="565">
        <f t="shared" si="1"/>
      </c>
      <c r="H12" s="586"/>
      <c r="I12" s="573"/>
      <c r="J12" s="573"/>
      <c r="K12" s="573"/>
      <c r="L12" s="573"/>
      <c r="M12" s="573"/>
    </row>
    <row r="13" spans="2:13" ht="13.5" customHeight="1">
      <c r="B13" s="583" t="s">
        <v>524</v>
      </c>
      <c r="C13" s="584">
        <f>403242.25</f>
        <v>403242.25</v>
      </c>
      <c r="D13" s="584">
        <f>4885.92</f>
        <v>4885.92</v>
      </c>
      <c r="E13" s="584">
        <f>4885.92</f>
        <v>4885.92</v>
      </c>
      <c r="F13" s="565">
        <f t="shared" si="0"/>
        <v>0.0009409123452923122</v>
      </c>
      <c r="G13" s="565">
        <f t="shared" si="1"/>
        <v>1.2116587485562338</v>
      </c>
      <c r="H13" s="586"/>
      <c r="I13" s="573"/>
      <c r="J13" s="573"/>
      <c r="K13" s="573"/>
      <c r="L13" s="573"/>
      <c r="M13" s="573"/>
    </row>
    <row r="14" spans="2:13" ht="13.5" customHeight="1">
      <c r="B14" s="587" t="s">
        <v>523</v>
      </c>
      <c r="C14" s="584">
        <f>365587.25</f>
        <v>365587.25</v>
      </c>
      <c r="D14" s="584">
        <f>0</f>
        <v>0</v>
      </c>
      <c r="E14" s="584">
        <f>0</f>
        <v>0</v>
      </c>
      <c r="F14" s="565">
        <f t="shared" si="0"/>
        <v>0</v>
      </c>
      <c r="G14" s="565">
        <f t="shared" si="1"/>
        <v>0</v>
      </c>
      <c r="H14" s="586"/>
      <c r="I14" s="573"/>
      <c r="J14" s="573"/>
      <c r="K14" s="573"/>
      <c r="L14" s="573"/>
      <c r="M14" s="573"/>
    </row>
    <row r="15" spans="2:13" ht="33" customHeight="1">
      <c r="B15" s="583" t="s">
        <v>525</v>
      </c>
      <c r="C15" s="584">
        <f>0</f>
        <v>0</v>
      </c>
      <c r="D15" s="584">
        <f>0</f>
        <v>0</v>
      </c>
      <c r="E15" s="584">
        <f>0</f>
        <v>0</v>
      </c>
      <c r="F15" s="565">
        <f t="shared" si="0"/>
        <v>0</v>
      </c>
      <c r="G15" s="565">
        <f t="shared" si="1"/>
      </c>
      <c r="H15" s="586"/>
      <c r="I15" s="573"/>
      <c r="J15" s="573"/>
      <c r="K15" s="573"/>
      <c r="L15" s="573"/>
      <c r="M15" s="573"/>
    </row>
    <row r="16" spans="2:13" ht="13.5" customHeight="1">
      <c r="B16" s="587" t="s">
        <v>523</v>
      </c>
      <c r="C16" s="584">
        <f>0</f>
        <v>0</v>
      </c>
      <c r="D16" s="584">
        <f>0</f>
        <v>0</v>
      </c>
      <c r="E16" s="584">
        <f>0</f>
        <v>0</v>
      </c>
      <c r="F16" s="565">
        <f t="shared" si="0"/>
        <v>0</v>
      </c>
      <c r="G16" s="565">
        <f t="shared" si="1"/>
      </c>
      <c r="H16" s="586"/>
      <c r="I16" s="573"/>
      <c r="J16" s="573"/>
      <c r="K16" s="573"/>
      <c r="L16" s="573"/>
      <c r="M16" s="573"/>
    </row>
    <row r="17" spans="2:13" ht="33" customHeight="1">
      <c r="B17" s="583" t="s">
        <v>526</v>
      </c>
      <c r="C17" s="584">
        <f>2285907</f>
        <v>2285907</v>
      </c>
      <c r="D17" s="584">
        <f>295613.32</f>
        <v>295613.32</v>
      </c>
      <c r="E17" s="584">
        <f>295613.32</f>
        <v>295613.32</v>
      </c>
      <c r="F17" s="565">
        <f t="shared" si="0"/>
        <v>0.0569281163467365</v>
      </c>
      <c r="G17" s="565">
        <f t="shared" si="1"/>
        <v>12.931992421388971</v>
      </c>
      <c r="H17" s="586"/>
      <c r="I17" s="573"/>
      <c r="J17" s="573"/>
      <c r="K17" s="573"/>
      <c r="L17" s="573"/>
      <c r="M17" s="573"/>
    </row>
    <row r="18" spans="2:13" ht="13.5" customHeight="1">
      <c r="B18" s="587" t="s">
        <v>523</v>
      </c>
      <c r="C18" s="584">
        <f>1177000</f>
        <v>1177000</v>
      </c>
      <c r="D18" s="584">
        <f>30000</f>
        <v>30000</v>
      </c>
      <c r="E18" s="584">
        <f>30000</f>
        <v>30000</v>
      </c>
      <c r="F18" s="565">
        <f t="shared" si="0"/>
        <v>0.005777288690516702</v>
      </c>
      <c r="G18" s="565">
        <f t="shared" si="1"/>
        <v>2.548853016142736</v>
      </c>
      <c r="H18" s="586"/>
      <c r="I18" s="573"/>
      <c r="J18" s="573"/>
      <c r="K18" s="573"/>
      <c r="L18" s="573"/>
      <c r="M18" s="573"/>
    </row>
    <row r="19" spans="2:13" ht="22.5" customHeight="1">
      <c r="B19" s="583" t="s">
        <v>527</v>
      </c>
      <c r="C19" s="584">
        <f>3227501</f>
        <v>3227501</v>
      </c>
      <c r="D19" s="584">
        <f>1144037.6</f>
        <v>1144037.6</v>
      </c>
      <c r="E19" s="584">
        <f>1144037.6</f>
        <v>1144037.6</v>
      </c>
      <c r="F19" s="565">
        <f t="shared" si="0"/>
        <v>0.2203145162668624</v>
      </c>
      <c r="G19" s="565">
        <f t="shared" si="1"/>
        <v>35.44654517535394</v>
      </c>
      <c r="H19" s="586"/>
      <c r="I19" s="573"/>
      <c r="J19" s="573"/>
      <c r="K19" s="573"/>
      <c r="L19" s="573"/>
      <c r="M19" s="573"/>
    </row>
    <row r="20" spans="2:13" ht="13.5" customHeight="1">
      <c r="B20" s="587" t="s">
        <v>523</v>
      </c>
      <c r="C20" s="584">
        <f>899500</f>
        <v>899500</v>
      </c>
      <c r="D20" s="584">
        <f>353508.57</f>
        <v>353508.57</v>
      </c>
      <c r="E20" s="584">
        <f>353508.57</f>
        <v>353508.57</v>
      </c>
      <c r="F20" s="565">
        <f t="shared" si="0"/>
        <v>0.06807736878205774</v>
      </c>
      <c r="G20" s="565">
        <f t="shared" si="1"/>
        <v>39.30056364647026</v>
      </c>
      <c r="H20" s="586"/>
      <c r="I20" s="573"/>
      <c r="J20" s="573"/>
      <c r="K20" s="573"/>
      <c r="L20" s="573"/>
      <c r="M20" s="573"/>
    </row>
    <row r="21" spans="1:13" s="573" customFormat="1" ht="13.5" customHeight="1">
      <c r="A21" s="566"/>
      <c r="B21" s="567"/>
      <c r="C21" s="568"/>
      <c r="D21" s="569"/>
      <c r="E21" s="569"/>
      <c r="F21" s="570"/>
      <c r="G21" s="570"/>
      <c r="H21" s="570"/>
      <c r="I21" s="570"/>
      <c r="J21" s="570"/>
      <c r="K21" s="571"/>
      <c r="L21" s="571"/>
      <c r="M21" s="572"/>
    </row>
    <row r="22" spans="1:13" s="573" customFormat="1" ht="13.5" customHeight="1">
      <c r="A22" s="566"/>
      <c r="B22" s="567"/>
      <c r="C22" s="568"/>
      <c r="D22" s="569"/>
      <c r="E22" s="569"/>
      <c r="F22" s="570"/>
      <c r="G22" s="570"/>
      <c r="H22" s="570"/>
      <c r="I22" s="570"/>
      <c r="J22" s="570"/>
      <c r="K22" s="571"/>
      <c r="L22" s="571"/>
      <c r="M22" s="572"/>
    </row>
    <row r="23" spans="1:13" s="573" customFormat="1" ht="13.5" customHeight="1">
      <c r="A23" s="566"/>
      <c r="B23" s="567"/>
      <c r="C23" s="568"/>
      <c r="D23" s="569"/>
      <c r="E23" s="569"/>
      <c r="F23" s="570"/>
      <c r="G23" s="570"/>
      <c r="H23" s="570"/>
      <c r="I23" s="570"/>
      <c r="J23" s="570"/>
      <c r="K23" s="571"/>
      <c r="L23" s="571"/>
      <c r="M23" s="572"/>
    </row>
    <row r="24" spans="1:13" s="573" customFormat="1" ht="13.5" customHeight="1">
      <c r="A24" s="566"/>
      <c r="B24" s="567"/>
      <c r="C24" s="568"/>
      <c r="D24" s="569"/>
      <c r="E24" s="569"/>
      <c r="F24" s="570"/>
      <c r="G24" s="570"/>
      <c r="H24" s="570"/>
      <c r="I24" s="570"/>
      <c r="J24" s="570"/>
      <c r="K24" s="571"/>
      <c r="L24" s="571"/>
      <c r="M24" s="572"/>
    </row>
    <row r="25" spans="1:13" s="573" customFormat="1" ht="13.5" customHeight="1">
      <c r="A25" s="566"/>
      <c r="B25" s="567"/>
      <c r="C25" s="568"/>
      <c r="D25" s="569"/>
      <c r="E25" s="569"/>
      <c r="F25" s="570"/>
      <c r="G25" s="570"/>
      <c r="H25" s="570"/>
      <c r="I25" s="570"/>
      <c r="J25" s="570"/>
      <c r="K25" s="571"/>
      <c r="L25" s="571"/>
      <c r="M25" s="572"/>
    </row>
    <row r="26" spans="1:13" s="573" customFormat="1" ht="13.5" customHeight="1">
      <c r="A26" s="566"/>
      <c r="B26" s="567"/>
      <c r="C26" s="568"/>
      <c r="D26" s="569"/>
      <c r="E26" s="569"/>
      <c r="F26" s="570"/>
      <c r="G26" s="570"/>
      <c r="H26" s="570"/>
      <c r="I26" s="570"/>
      <c r="J26" s="570"/>
      <c r="K26" s="571"/>
      <c r="L26" s="571"/>
      <c r="M26" s="572"/>
    </row>
    <row r="27" spans="1:13" s="573" customFormat="1" ht="13.5" customHeight="1">
      <c r="A27" s="566"/>
      <c r="B27" s="567"/>
      <c r="C27" s="568"/>
      <c r="D27" s="569"/>
      <c r="E27" s="569"/>
      <c r="F27" s="570"/>
      <c r="G27" s="570"/>
      <c r="H27" s="570"/>
      <c r="I27" s="570"/>
      <c r="J27" s="570"/>
      <c r="K27" s="571"/>
      <c r="L27" s="571"/>
      <c r="M27" s="572"/>
    </row>
    <row r="28" spans="2:13" ht="75" customHeight="1">
      <c r="B28" s="856" t="str">
        <f>CONCATENATE("Informacja z wykonania budżetów związków jednostek samorządu terytorialnego za ",$D$84," ",$C$85," roku")</f>
        <v>Informacja z wykonania budżetów związków jednostek samorządu terytorialnego za 2 kwartały 2008 roku</v>
      </c>
      <c r="C28" s="856"/>
      <c r="D28" s="856"/>
      <c r="E28" s="856"/>
      <c r="F28" s="856"/>
      <c r="G28" s="856"/>
      <c r="H28" s="856"/>
      <c r="I28" s="856"/>
      <c r="J28" s="856"/>
      <c r="K28" s="856"/>
      <c r="L28" s="856"/>
      <c r="M28" s="856"/>
    </row>
    <row r="29" spans="2:13" s="573" customFormat="1" ht="13.5" customHeight="1">
      <c r="B29" s="574"/>
      <c r="C29" s="568"/>
      <c r="D29" s="569"/>
      <c r="E29" s="569"/>
      <c r="F29" s="575"/>
      <c r="G29" s="575"/>
      <c r="H29" s="575"/>
      <c r="I29" s="575"/>
      <c r="J29" s="575"/>
      <c r="K29" s="571"/>
      <c r="L29" s="571"/>
      <c r="M29" s="572"/>
    </row>
    <row r="30" spans="2:27" ht="29.25" customHeight="1">
      <c r="B30" s="853" t="s">
        <v>500</v>
      </c>
      <c r="C30" s="854" t="s">
        <v>597</v>
      </c>
      <c r="D30" s="854" t="s">
        <v>598</v>
      </c>
      <c r="E30" s="854" t="s">
        <v>599</v>
      </c>
      <c r="F30" s="854" t="s">
        <v>535</v>
      </c>
      <c r="G30" s="854"/>
      <c r="H30" s="854"/>
      <c r="I30" s="854" t="s">
        <v>600</v>
      </c>
      <c r="J30" s="854"/>
      <c r="K30" s="854" t="s">
        <v>501</v>
      </c>
      <c r="L30" s="852" t="s">
        <v>536</v>
      </c>
      <c r="M30" s="573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6"/>
      <c r="Y30" s="576"/>
      <c r="Z30" s="576"/>
      <c r="AA30" s="576"/>
    </row>
    <row r="31" spans="2:27" ht="18" customHeight="1">
      <c r="B31" s="853"/>
      <c r="C31" s="854"/>
      <c r="D31" s="860"/>
      <c r="E31" s="854"/>
      <c r="F31" s="868" t="s">
        <v>601</v>
      </c>
      <c r="G31" s="869" t="s">
        <v>537</v>
      </c>
      <c r="H31" s="860"/>
      <c r="I31" s="854"/>
      <c r="J31" s="854"/>
      <c r="K31" s="854"/>
      <c r="L31" s="852"/>
      <c r="M31" s="589"/>
      <c r="N31" s="577"/>
      <c r="O31" s="576"/>
      <c r="P31" s="576"/>
      <c r="Q31" s="576"/>
      <c r="R31" s="576"/>
      <c r="S31" s="576"/>
      <c r="T31" s="576"/>
      <c r="U31" s="576"/>
      <c r="V31" s="576"/>
      <c r="W31" s="576"/>
      <c r="X31" s="576"/>
      <c r="Y31" s="576"/>
      <c r="Z31" s="576"/>
      <c r="AA31" s="576"/>
    </row>
    <row r="32" spans="2:27" ht="36" customHeight="1">
      <c r="B32" s="853"/>
      <c r="C32" s="854"/>
      <c r="D32" s="860"/>
      <c r="E32" s="854"/>
      <c r="F32" s="860"/>
      <c r="G32" s="588" t="s">
        <v>602</v>
      </c>
      <c r="H32" s="588" t="s">
        <v>603</v>
      </c>
      <c r="I32" s="854"/>
      <c r="J32" s="854"/>
      <c r="K32" s="854"/>
      <c r="L32" s="852"/>
      <c r="M32" s="589"/>
      <c r="N32" s="576"/>
      <c r="O32" s="576"/>
      <c r="P32" s="576"/>
      <c r="Q32" s="576"/>
      <c r="R32" s="576"/>
      <c r="S32" s="576"/>
      <c r="T32" s="576"/>
      <c r="U32" s="576"/>
      <c r="V32" s="576"/>
      <c r="W32" s="576"/>
      <c r="X32" s="576"/>
      <c r="Y32" s="576"/>
      <c r="Z32" s="576"/>
      <c r="AA32" s="576"/>
    </row>
    <row r="33" spans="2:27" ht="13.5" customHeight="1">
      <c r="B33" s="853"/>
      <c r="C33" s="855"/>
      <c r="D33" s="855"/>
      <c r="E33" s="855"/>
      <c r="F33" s="855"/>
      <c r="G33" s="855"/>
      <c r="H33" s="855"/>
      <c r="I33" s="855"/>
      <c r="J33" s="855"/>
      <c r="K33" s="855" t="s">
        <v>12</v>
      </c>
      <c r="L33" s="855"/>
      <c r="M33" s="573"/>
      <c r="O33" s="576"/>
      <c r="P33" s="576"/>
      <c r="Q33" s="576"/>
      <c r="R33" s="576"/>
      <c r="S33" s="576"/>
      <c r="T33" s="576"/>
      <c r="U33" s="576"/>
      <c r="V33" s="576"/>
      <c r="W33" s="576"/>
      <c r="X33" s="576"/>
      <c r="Y33" s="576"/>
      <c r="Z33" s="576"/>
      <c r="AA33" s="576"/>
    </row>
    <row r="34" spans="2:27" ht="11.25" customHeight="1">
      <c r="B34" s="579">
        <v>1</v>
      </c>
      <c r="C34" s="580">
        <v>2</v>
      </c>
      <c r="D34" s="580">
        <v>3</v>
      </c>
      <c r="E34" s="580">
        <v>4</v>
      </c>
      <c r="F34" s="579">
        <v>5</v>
      </c>
      <c r="G34" s="579">
        <v>6</v>
      </c>
      <c r="H34" s="580">
        <v>7</v>
      </c>
      <c r="I34" s="860">
        <v>8</v>
      </c>
      <c r="J34" s="860"/>
      <c r="K34" s="579">
        <v>9</v>
      </c>
      <c r="L34" s="580">
        <v>10</v>
      </c>
      <c r="M34" s="573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576"/>
      <c r="AA34" s="576"/>
    </row>
    <row r="35" spans="2:13" ht="25.5" customHeight="1">
      <c r="B35" s="581" t="s">
        <v>538</v>
      </c>
      <c r="C35" s="590">
        <f>1380962209.87</f>
        <v>1380962209.87</v>
      </c>
      <c r="D35" s="590">
        <f>596949737.74</f>
        <v>596949737.74</v>
      </c>
      <c r="E35" s="590">
        <f>422175455.16</f>
        <v>422175455.16</v>
      </c>
      <c r="F35" s="590">
        <f>69570674.73</f>
        <v>69570674.73</v>
      </c>
      <c r="G35" s="590">
        <f>611354.64</f>
        <v>611354.64</v>
      </c>
      <c r="H35" s="590">
        <f>7242025.22</f>
        <v>7242025.22</v>
      </c>
      <c r="I35" s="862">
        <f>0</f>
        <v>0</v>
      </c>
      <c r="J35" s="862"/>
      <c r="K35" s="591">
        <f aca="true" t="shared" si="2" ref="K35:K45">IF($E$35=0,"",100*$E35/$E$35)</f>
        <v>100</v>
      </c>
      <c r="L35" s="591">
        <f aca="true" t="shared" si="3" ref="L35:L45">IF(C35=0,"",100*E35/C35)</f>
        <v>30.571108473688245</v>
      </c>
      <c r="M35" s="573"/>
    </row>
    <row r="36" spans="2:13" ht="24" customHeight="1">
      <c r="B36" s="581" t="s">
        <v>539</v>
      </c>
      <c r="C36" s="592">
        <f>709082555.35</f>
        <v>709082555.35</v>
      </c>
      <c r="D36" s="592">
        <f>196247952.39</f>
        <v>196247952.39</v>
      </c>
      <c r="E36" s="592">
        <f>97525792.59</f>
        <v>97525792.59</v>
      </c>
      <c r="F36" s="592">
        <f>24213973.48</f>
        <v>24213973.48</v>
      </c>
      <c r="G36" s="592">
        <f>432939.59</f>
        <v>432939.59</v>
      </c>
      <c r="H36" s="592">
        <f>34000</f>
        <v>34000</v>
      </c>
      <c r="I36" s="870">
        <f>0</f>
        <v>0</v>
      </c>
      <c r="J36" s="870"/>
      <c r="K36" s="591">
        <f t="shared" si="2"/>
        <v>23.100772770657347</v>
      </c>
      <c r="L36" s="591">
        <f t="shared" si="3"/>
        <v>13.753799448903619</v>
      </c>
      <c r="M36" s="573"/>
    </row>
    <row r="37" spans="2:13" ht="22.5" customHeight="1">
      <c r="B37" s="583" t="s">
        <v>540</v>
      </c>
      <c r="C37" s="584">
        <f>695016155.11</f>
        <v>695016155.11</v>
      </c>
      <c r="D37" s="584">
        <f>186955282.86</f>
        <v>186955282.86</v>
      </c>
      <c r="E37" s="584">
        <f>89173858.01</f>
        <v>89173858.01</v>
      </c>
      <c r="F37" s="584">
        <f>24213973.48</f>
        <v>24213973.48</v>
      </c>
      <c r="G37" s="584">
        <f>432939.59</f>
        <v>432939.59</v>
      </c>
      <c r="H37" s="584">
        <f>34000</f>
        <v>34000</v>
      </c>
      <c r="I37" s="871">
        <f>0</f>
        <v>0</v>
      </c>
      <c r="J37" s="871"/>
      <c r="K37" s="593">
        <f t="shared" si="2"/>
        <v>21.122463876116164</v>
      </c>
      <c r="L37" s="593">
        <f t="shared" si="3"/>
        <v>12.830472695398926</v>
      </c>
      <c r="M37" s="573"/>
    </row>
    <row r="38" spans="2:13" ht="25.5" customHeight="1">
      <c r="B38" s="581" t="s">
        <v>541</v>
      </c>
      <c r="C38" s="592">
        <f aca="true" t="shared" si="4" ref="C38:I38">C35-C36</f>
        <v>671879654.5199999</v>
      </c>
      <c r="D38" s="592">
        <f t="shared" si="4"/>
        <v>400701785.35</v>
      </c>
      <c r="E38" s="592">
        <f t="shared" si="4"/>
        <v>324649662.57000005</v>
      </c>
      <c r="F38" s="592">
        <f t="shared" si="4"/>
        <v>45356701.25</v>
      </c>
      <c r="G38" s="592">
        <f t="shared" si="4"/>
        <v>178415.05</v>
      </c>
      <c r="H38" s="592">
        <f t="shared" si="4"/>
        <v>7208025.22</v>
      </c>
      <c r="I38" s="870">
        <f t="shared" si="4"/>
        <v>0</v>
      </c>
      <c r="J38" s="870"/>
      <c r="K38" s="591">
        <f t="shared" si="2"/>
        <v>76.89922722934266</v>
      </c>
      <c r="L38" s="591">
        <f t="shared" si="3"/>
        <v>48.31961503610855</v>
      </c>
      <c r="M38" s="573"/>
    </row>
    <row r="39" spans="2:13" ht="13.5" customHeight="1">
      <c r="B39" s="583" t="s">
        <v>542</v>
      </c>
      <c r="C39" s="584">
        <f>52082780.88</f>
        <v>52082780.88</v>
      </c>
      <c r="D39" s="584">
        <f>39244336.77</f>
        <v>39244336.77</v>
      </c>
      <c r="E39" s="584">
        <f>24688000.64</f>
        <v>24688000.64</v>
      </c>
      <c r="F39" s="584">
        <f>1538050.13</f>
        <v>1538050.13</v>
      </c>
      <c r="G39" s="584">
        <f>563.58</f>
        <v>563.58</v>
      </c>
      <c r="H39" s="584">
        <f>527.35</f>
        <v>527.35</v>
      </c>
      <c r="I39" s="871">
        <f>0</f>
        <v>0</v>
      </c>
      <c r="J39" s="871"/>
      <c r="K39" s="593">
        <f t="shared" si="2"/>
        <v>5.847805773228457</v>
      </c>
      <c r="L39" s="593">
        <f t="shared" si="3"/>
        <v>47.40146402105862</v>
      </c>
      <c r="M39" s="573"/>
    </row>
    <row r="40" spans="2:13" ht="22.5" customHeight="1">
      <c r="B40" s="587" t="s">
        <v>543</v>
      </c>
      <c r="C40" s="594">
        <f>44518254.26</f>
        <v>44518254.26</v>
      </c>
      <c r="D40" s="594">
        <f>34269433.18</f>
        <v>34269433.18</v>
      </c>
      <c r="E40" s="594">
        <f>20221537.37</f>
        <v>20221537.37</v>
      </c>
      <c r="F40" s="594">
        <f>1479259.17</f>
        <v>1479259.17</v>
      </c>
      <c r="G40" s="594">
        <f>563.58</f>
        <v>563.58</v>
      </c>
      <c r="H40" s="594">
        <f>527.35</f>
        <v>527.35</v>
      </c>
      <c r="I40" s="872">
        <f>0</f>
        <v>0</v>
      </c>
      <c r="J40" s="872"/>
      <c r="K40" s="593">
        <f t="shared" si="2"/>
        <v>4.78984202488424</v>
      </c>
      <c r="L40" s="593">
        <f t="shared" si="3"/>
        <v>45.42302411927507</v>
      </c>
      <c r="M40" s="573"/>
    </row>
    <row r="41" spans="2:13" ht="13.5" customHeight="1">
      <c r="B41" s="583" t="s">
        <v>544</v>
      </c>
      <c r="C41" s="584">
        <f>9066892.35</f>
        <v>9066892.35</v>
      </c>
      <c r="D41" s="584">
        <f>6789198.87</f>
        <v>6789198.87</v>
      </c>
      <c r="E41" s="584">
        <f>3988234.73</f>
        <v>3988234.73</v>
      </c>
      <c r="F41" s="584">
        <f>521618.27</f>
        <v>521618.27</v>
      </c>
      <c r="G41" s="584">
        <f>0</f>
        <v>0</v>
      </c>
      <c r="H41" s="584">
        <f>5899.05</f>
        <v>5899.05</v>
      </c>
      <c r="I41" s="871">
        <f>0</f>
        <v>0</v>
      </c>
      <c r="J41" s="871"/>
      <c r="K41" s="593">
        <f t="shared" si="2"/>
        <v>0.9446865470870403</v>
      </c>
      <c r="L41" s="593">
        <f t="shared" si="3"/>
        <v>43.9867881523927</v>
      </c>
      <c r="M41" s="573"/>
    </row>
    <row r="42" spans="2:13" ht="13.5" customHeight="1">
      <c r="B42" s="583" t="s">
        <v>545</v>
      </c>
      <c r="C42" s="594">
        <f>170700</f>
        <v>170700</v>
      </c>
      <c r="D42" s="594">
        <f>135700</f>
        <v>135700</v>
      </c>
      <c r="E42" s="594">
        <f>90858</f>
        <v>90858</v>
      </c>
      <c r="F42" s="594">
        <f>0</f>
        <v>0</v>
      </c>
      <c r="G42" s="594">
        <f>0</f>
        <v>0</v>
      </c>
      <c r="H42" s="594">
        <f>0</f>
        <v>0</v>
      </c>
      <c r="I42" s="872">
        <f>0</f>
        <v>0</v>
      </c>
      <c r="J42" s="872"/>
      <c r="K42" s="593">
        <f t="shared" si="2"/>
        <v>0.021521383796593713</v>
      </c>
      <c r="L42" s="593">
        <f t="shared" si="3"/>
        <v>53.22671353251318</v>
      </c>
      <c r="M42" s="573"/>
    </row>
    <row r="43" spans="2:13" ht="13.5" customHeight="1">
      <c r="B43" s="583" t="s">
        <v>546</v>
      </c>
      <c r="C43" s="584">
        <f>4867292.63</f>
        <v>4867292.63</v>
      </c>
      <c r="D43" s="584">
        <f>2886267.28</f>
        <v>2886267.28</v>
      </c>
      <c r="E43" s="584">
        <f>2502707.87</f>
        <v>2502707.87</v>
      </c>
      <c r="F43" s="584">
        <f>37509.91</f>
        <v>37509.91</v>
      </c>
      <c r="G43" s="584">
        <f>0</f>
        <v>0</v>
      </c>
      <c r="H43" s="584">
        <f>4669.58</f>
        <v>4669.58</v>
      </c>
      <c r="I43" s="871">
        <f>0</f>
        <v>0</v>
      </c>
      <c r="J43" s="871"/>
      <c r="K43" s="593">
        <f t="shared" si="2"/>
        <v>0.5928122631031452</v>
      </c>
      <c r="L43" s="593">
        <f t="shared" si="3"/>
        <v>51.41889054655011</v>
      </c>
      <c r="M43" s="573"/>
    </row>
    <row r="44" spans="2:13" ht="22.5" customHeight="1">
      <c r="B44" s="583" t="s">
        <v>547</v>
      </c>
      <c r="C44" s="594">
        <f>495000</f>
        <v>495000</v>
      </c>
      <c r="D44" s="594">
        <f>495000</f>
        <v>495000</v>
      </c>
      <c r="E44" s="594">
        <f>255000</f>
        <v>255000</v>
      </c>
      <c r="F44" s="594">
        <f>3352269.14</f>
        <v>3352269.14</v>
      </c>
      <c r="G44" s="594">
        <f>17147.1</f>
        <v>17147.1</v>
      </c>
      <c r="H44" s="594">
        <f>0</f>
        <v>0</v>
      </c>
      <c r="I44" s="872">
        <f>0</f>
        <v>0</v>
      </c>
      <c r="J44" s="872"/>
      <c r="K44" s="593">
        <f t="shared" si="2"/>
        <v>0.06040142715150451</v>
      </c>
      <c r="L44" s="593">
        <f t="shared" si="3"/>
        <v>51.515151515151516</v>
      </c>
      <c r="M44" s="573"/>
    </row>
    <row r="45" spans="2:13" ht="13.5" customHeight="1">
      <c r="B45" s="583" t="s">
        <v>548</v>
      </c>
      <c r="C45" s="584">
        <f aca="true" t="shared" si="5" ref="C45:I45">C38-C39-C41-C42-C43-C44</f>
        <v>605196988.6599998</v>
      </c>
      <c r="D45" s="584">
        <f t="shared" si="5"/>
        <v>351151282.43000007</v>
      </c>
      <c r="E45" s="584">
        <f t="shared" si="5"/>
        <v>293124861.33000004</v>
      </c>
      <c r="F45" s="584">
        <f t="shared" si="5"/>
        <v>39907253.8</v>
      </c>
      <c r="G45" s="584">
        <f t="shared" si="5"/>
        <v>160704.37</v>
      </c>
      <c r="H45" s="584">
        <f t="shared" si="5"/>
        <v>7196929.24</v>
      </c>
      <c r="I45" s="871">
        <f t="shared" si="5"/>
        <v>0</v>
      </c>
      <c r="J45" s="871">
        <f>J38-J39-J41-J42-J43</f>
        <v>0</v>
      </c>
      <c r="K45" s="593">
        <f t="shared" si="2"/>
        <v>69.43199983497591</v>
      </c>
      <c r="L45" s="593">
        <f t="shared" si="3"/>
        <v>48.434619937389975</v>
      </c>
      <c r="M45" s="573"/>
    </row>
    <row r="46" spans="2:13" ht="24" customHeight="1">
      <c r="B46" s="581" t="s">
        <v>549</v>
      </c>
      <c r="C46" s="592">
        <f>C6-C35</f>
        <v>-246853327.6099999</v>
      </c>
      <c r="D46" s="592"/>
      <c r="E46" s="592">
        <f>D6-E35</f>
        <v>97099270.52999997</v>
      </c>
      <c r="F46" s="592"/>
      <c r="G46" s="592"/>
      <c r="H46" s="592"/>
      <c r="I46" s="870"/>
      <c r="J46" s="870"/>
      <c r="K46" s="595"/>
      <c r="L46" s="595"/>
      <c r="M46" s="596"/>
    </row>
    <row r="47" spans="2:13" ht="12" customHeight="1">
      <c r="B47" s="597"/>
      <c r="C47" s="598"/>
      <c r="D47" s="598"/>
      <c r="E47" s="598"/>
      <c r="F47" s="572"/>
      <c r="G47" s="572"/>
      <c r="H47" s="572"/>
      <c r="I47" s="572"/>
      <c r="J47" s="573"/>
      <c r="K47" s="573"/>
      <c r="L47" s="599"/>
      <c r="M47" s="599"/>
    </row>
    <row r="48" spans="2:13" ht="12" customHeight="1">
      <c r="B48" s="597"/>
      <c r="C48" s="598"/>
      <c r="D48" s="598"/>
      <c r="E48" s="598"/>
      <c r="F48" s="572"/>
      <c r="G48" s="572"/>
      <c r="H48" s="572"/>
      <c r="I48" s="572"/>
      <c r="J48" s="573"/>
      <c r="K48" s="573"/>
      <c r="L48" s="599"/>
      <c r="M48" s="599"/>
    </row>
    <row r="49" spans="2:13" ht="12" customHeight="1">
      <c r="B49" s="597"/>
      <c r="C49" s="598"/>
      <c r="D49" s="598"/>
      <c r="E49" s="598"/>
      <c r="F49" s="572"/>
      <c r="G49" s="572"/>
      <c r="H49" s="572"/>
      <c r="I49" s="572"/>
      <c r="J49" s="573"/>
      <c r="K49" s="573"/>
      <c r="L49" s="599"/>
      <c r="M49" s="599"/>
    </row>
    <row r="50" spans="2:13" ht="12" customHeight="1">
      <c r="B50" s="597"/>
      <c r="C50" s="598"/>
      <c r="D50" s="598"/>
      <c r="E50" s="598"/>
      <c r="F50" s="572"/>
      <c r="G50" s="572"/>
      <c r="H50" s="572"/>
      <c r="I50" s="572"/>
      <c r="J50" s="573"/>
      <c r="K50" s="573"/>
      <c r="L50" s="599"/>
      <c r="M50" s="599"/>
    </row>
    <row r="51" spans="2:13" ht="12.75">
      <c r="B51" s="573"/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</row>
    <row r="52" spans="2:13" ht="12.75">
      <c r="B52" s="573"/>
      <c r="C52" s="573"/>
      <c r="D52" s="573"/>
      <c r="E52" s="573"/>
      <c r="F52" s="573"/>
      <c r="G52" s="573"/>
      <c r="H52" s="573"/>
      <c r="I52" s="573"/>
      <c r="J52" s="573"/>
      <c r="K52" s="573"/>
      <c r="L52" s="573"/>
      <c r="M52" s="573"/>
    </row>
    <row r="53" spans="2:13" ht="75" customHeight="1">
      <c r="B53" s="856" t="str">
        <f>CONCATENATE("Informacja z wykonania budżetów związków jednostek samorządu terytorialnego za ",$D$84," ",$C$85," roku")</f>
        <v>Informacja z wykonania budżetów związków jednostek samorządu terytorialnego za 2 kwartały 2008 roku</v>
      </c>
      <c r="C53" s="856"/>
      <c r="D53" s="856"/>
      <c r="E53" s="856"/>
      <c r="F53" s="856"/>
      <c r="G53" s="856"/>
      <c r="H53" s="856"/>
      <c r="I53" s="856"/>
      <c r="J53" s="856"/>
      <c r="K53" s="856"/>
      <c r="L53" s="856"/>
      <c r="M53" s="856"/>
    </row>
    <row r="54" spans="2:13" ht="12.75">
      <c r="B54" s="573"/>
      <c r="C54" s="573"/>
      <c r="D54" s="573"/>
      <c r="E54" s="573"/>
      <c r="F54" s="573"/>
      <c r="G54" s="573"/>
      <c r="H54" s="573"/>
      <c r="I54" s="573"/>
      <c r="J54" s="573"/>
      <c r="K54" s="573"/>
      <c r="L54" s="573"/>
      <c r="M54" s="573"/>
    </row>
    <row r="55" spans="2:13" ht="18" customHeight="1">
      <c r="B55" s="859" t="s">
        <v>460</v>
      </c>
      <c r="C55" s="859"/>
      <c r="D55" s="860" t="s">
        <v>550</v>
      </c>
      <c r="E55" s="860"/>
      <c r="F55" s="860" t="s">
        <v>551</v>
      </c>
      <c r="G55" s="860"/>
      <c r="H55" s="580" t="s">
        <v>552</v>
      </c>
      <c r="I55" s="580" t="s">
        <v>553</v>
      </c>
      <c r="J55" s="573"/>
      <c r="K55" s="573"/>
      <c r="L55" s="573"/>
      <c r="M55" s="573"/>
    </row>
    <row r="56" spans="2:13" ht="13.5" customHeight="1">
      <c r="B56" s="859"/>
      <c r="C56" s="859"/>
      <c r="D56" s="854"/>
      <c r="E56" s="854"/>
      <c r="F56" s="854"/>
      <c r="G56" s="854"/>
      <c r="H56" s="867" t="s">
        <v>12</v>
      </c>
      <c r="I56" s="867"/>
      <c r="J56" s="600"/>
      <c r="K56" s="573"/>
      <c r="L56" s="573"/>
      <c r="M56" s="573"/>
    </row>
    <row r="57" spans="2:13" ht="11.25" customHeight="1">
      <c r="B57" s="857">
        <v>1</v>
      </c>
      <c r="C57" s="854"/>
      <c r="D57" s="858">
        <v>2</v>
      </c>
      <c r="E57" s="858"/>
      <c r="F57" s="858">
        <v>3</v>
      </c>
      <c r="G57" s="858"/>
      <c r="H57" s="601">
        <v>4</v>
      </c>
      <c r="I57" s="601">
        <v>5</v>
      </c>
      <c r="J57" s="599"/>
      <c r="K57" s="573"/>
      <c r="L57" s="573"/>
      <c r="M57" s="573"/>
    </row>
    <row r="58" spans="2:13" ht="25.5" customHeight="1">
      <c r="B58" s="861" t="s">
        <v>554</v>
      </c>
      <c r="C58" s="861"/>
      <c r="D58" s="862">
        <f>247357094.13</f>
        <v>247357094.13</v>
      </c>
      <c r="E58" s="862"/>
      <c r="F58" s="862">
        <f>-5952445.61</f>
        <v>-5952445.61</v>
      </c>
      <c r="G58" s="862"/>
      <c r="H58" s="591"/>
      <c r="I58" s="591"/>
      <c r="J58" s="602"/>
      <c r="K58" s="573"/>
      <c r="L58" s="573"/>
      <c r="M58" s="573"/>
    </row>
    <row r="59" spans="2:13" ht="25.5" customHeight="1">
      <c r="B59" s="863" t="s">
        <v>555</v>
      </c>
      <c r="C59" s="861"/>
      <c r="D59" s="862">
        <f>282947164.96</f>
        <v>282947164.96</v>
      </c>
      <c r="E59" s="862"/>
      <c r="F59" s="862">
        <f>105349187.22</f>
        <v>105349187.22</v>
      </c>
      <c r="G59" s="862"/>
      <c r="H59" s="308">
        <f aca="true" t="shared" si="6" ref="H59:H71">IF($F$59=0,"",100*$F59/$F$59)</f>
        <v>100</v>
      </c>
      <c r="I59" s="591">
        <f aca="true" t="shared" si="7" ref="I59:I80">IF(D59=0,"",100*F59/D59)</f>
        <v>37.23281243510361</v>
      </c>
      <c r="J59" s="573"/>
      <c r="K59" s="573"/>
      <c r="L59" s="573"/>
      <c r="M59" s="573"/>
    </row>
    <row r="60" spans="2:13" ht="13.5" customHeight="1">
      <c r="B60" s="864" t="s">
        <v>556</v>
      </c>
      <c r="C60" s="864"/>
      <c r="D60" s="865">
        <f>255770010.51</f>
        <v>255770010.51</v>
      </c>
      <c r="E60" s="865"/>
      <c r="F60" s="865">
        <f>54699968.69</f>
        <v>54699968.69</v>
      </c>
      <c r="G60" s="865"/>
      <c r="H60" s="593">
        <f t="shared" si="6"/>
        <v>51.922535079241214</v>
      </c>
      <c r="I60" s="593">
        <f t="shared" si="7"/>
        <v>21.386388725139987</v>
      </c>
      <c r="J60" s="573"/>
      <c r="K60" s="573"/>
      <c r="L60" s="573"/>
      <c r="M60" s="573"/>
    </row>
    <row r="61" spans="2:13" ht="45" customHeight="1">
      <c r="B61" s="866" t="s">
        <v>691</v>
      </c>
      <c r="C61" s="866" t="s">
        <v>558</v>
      </c>
      <c r="D61" s="865">
        <f>239074859.66</f>
        <v>239074859.66</v>
      </c>
      <c r="E61" s="865"/>
      <c r="F61" s="865">
        <f>50847686.05</f>
        <v>50847686.05</v>
      </c>
      <c r="G61" s="865"/>
      <c r="H61" s="593">
        <f t="shared" si="6"/>
        <v>48.26585509750077</v>
      </c>
      <c r="I61" s="593">
        <f t="shared" si="7"/>
        <v>21.268520714521372</v>
      </c>
      <c r="J61" s="573"/>
      <c r="K61" s="573"/>
      <c r="L61" s="573"/>
      <c r="M61" s="573"/>
    </row>
    <row r="62" spans="2:13" ht="13.5" customHeight="1">
      <c r="B62" s="864" t="s">
        <v>559</v>
      </c>
      <c r="C62" s="864" t="s">
        <v>560</v>
      </c>
      <c r="D62" s="865">
        <f>95000</f>
        <v>95000</v>
      </c>
      <c r="E62" s="865"/>
      <c r="F62" s="865">
        <f>0</f>
        <v>0</v>
      </c>
      <c r="G62" s="865"/>
      <c r="H62" s="593">
        <f t="shared" si="6"/>
        <v>0</v>
      </c>
      <c r="I62" s="593">
        <f t="shared" si="7"/>
        <v>0</v>
      </c>
      <c r="J62" s="573"/>
      <c r="K62" s="573"/>
      <c r="L62" s="573"/>
      <c r="M62" s="573"/>
    </row>
    <row r="63" spans="2:13" ht="13.5" customHeight="1">
      <c r="B63" s="864" t="s">
        <v>561</v>
      </c>
      <c r="C63" s="864" t="s">
        <v>562</v>
      </c>
      <c r="D63" s="865">
        <f>20147836.32</f>
        <v>20147836.32</v>
      </c>
      <c r="E63" s="865"/>
      <c r="F63" s="865">
        <f>29899786.79</f>
        <v>29899786.79</v>
      </c>
      <c r="G63" s="865"/>
      <c r="H63" s="593">
        <f t="shared" si="6"/>
        <v>28.38160177501937</v>
      </c>
      <c r="I63" s="593">
        <f t="shared" si="7"/>
        <v>148.40197386515197</v>
      </c>
      <c r="J63" s="573"/>
      <c r="K63" s="573"/>
      <c r="L63" s="573"/>
      <c r="M63" s="573"/>
    </row>
    <row r="64" spans="2:13" ht="13.5" customHeight="1">
      <c r="B64" s="866" t="s">
        <v>563</v>
      </c>
      <c r="C64" s="866" t="s">
        <v>564</v>
      </c>
      <c r="D64" s="865">
        <f>15998647.22</f>
        <v>15998647.22</v>
      </c>
      <c r="E64" s="865"/>
      <c r="F64" s="865">
        <f>4657019.85</f>
        <v>4657019.85</v>
      </c>
      <c r="G64" s="865"/>
      <c r="H64" s="593">
        <f t="shared" si="6"/>
        <v>4.420556031699396</v>
      </c>
      <c r="I64" s="593">
        <f t="shared" si="7"/>
        <v>29.108835178128263</v>
      </c>
      <c r="J64" s="573"/>
      <c r="K64" s="573"/>
      <c r="L64" s="573"/>
      <c r="M64" s="573"/>
    </row>
    <row r="65" spans="2:13" ht="13.5" customHeight="1">
      <c r="B65" s="864" t="s">
        <v>565</v>
      </c>
      <c r="C65" s="864" t="s">
        <v>566</v>
      </c>
      <c r="D65" s="865">
        <f>0</f>
        <v>0</v>
      </c>
      <c r="E65" s="865"/>
      <c r="F65" s="865">
        <f>0</f>
        <v>0</v>
      </c>
      <c r="G65" s="865"/>
      <c r="H65" s="593">
        <f t="shared" si="6"/>
        <v>0</v>
      </c>
      <c r="I65" s="593">
        <f t="shared" si="7"/>
      </c>
      <c r="J65" s="573"/>
      <c r="K65" s="573"/>
      <c r="L65" s="573"/>
      <c r="M65" s="573"/>
    </row>
    <row r="66" spans="2:13" ht="45" customHeight="1">
      <c r="B66" s="866" t="s">
        <v>691</v>
      </c>
      <c r="C66" s="866" t="s">
        <v>558</v>
      </c>
      <c r="D66" s="865">
        <f>0</f>
        <v>0</v>
      </c>
      <c r="E66" s="865"/>
      <c r="F66" s="865">
        <f>0</f>
        <v>0</v>
      </c>
      <c r="G66" s="865"/>
      <c r="H66" s="593">
        <f t="shared" si="6"/>
        <v>0</v>
      </c>
      <c r="I66" s="593">
        <f t="shared" si="7"/>
      </c>
      <c r="J66" s="573"/>
      <c r="K66" s="573"/>
      <c r="L66" s="573"/>
      <c r="M66" s="573"/>
    </row>
    <row r="67" spans="2:13" ht="22.5" customHeight="1">
      <c r="B67" s="864" t="s">
        <v>567</v>
      </c>
      <c r="C67" s="864" t="s">
        <v>568</v>
      </c>
      <c r="D67" s="865">
        <f>0</f>
        <v>0</v>
      </c>
      <c r="E67" s="865"/>
      <c r="F67" s="865">
        <f>0</f>
        <v>0</v>
      </c>
      <c r="G67" s="865"/>
      <c r="H67" s="593">
        <f t="shared" si="6"/>
        <v>0</v>
      </c>
      <c r="I67" s="593">
        <f t="shared" si="7"/>
      </c>
      <c r="J67" s="573"/>
      <c r="K67" s="573"/>
      <c r="L67" s="573"/>
      <c r="M67" s="573"/>
    </row>
    <row r="68" spans="2:13" ht="45" customHeight="1">
      <c r="B68" s="866" t="s">
        <v>691</v>
      </c>
      <c r="C68" s="866" t="s">
        <v>558</v>
      </c>
      <c r="D68" s="865">
        <f>0</f>
        <v>0</v>
      </c>
      <c r="E68" s="865"/>
      <c r="F68" s="865">
        <f>0</f>
        <v>0</v>
      </c>
      <c r="G68" s="865"/>
      <c r="H68" s="593">
        <f t="shared" si="6"/>
        <v>0</v>
      </c>
      <c r="I68" s="593">
        <f t="shared" si="7"/>
      </c>
      <c r="J68" s="573"/>
      <c r="K68" s="573"/>
      <c r="L68" s="573"/>
      <c r="M68" s="573"/>
    </row>
    <row r="69" spans="2:13" ht="13.5" customHeight="1">
      <c r="B69" s="864" t="s">
        <v>569</v>
      </c>
      <c r="C69" s="864" t="s">
        <v>570</v>
      </c>
      <c r="D69" s="865">
        <f>0</f>
        <v>0</v>
      </c>
      <c r="E69" s="865"/>
      <c r="F69" s="865">
        <f>0</f>
        <v>0</v>
      </c>
      <c r="G69" s="865"/>
      <c r="H69" s="593">
        <f t="shared" si="6"/>
        <v>0</v>
      </c>
      <c r="I69" s="593">
        <f t="shared" si="7"/>
      </c>
      <c r="J69" s="573"/>
      <c r="K69" s="573"/>
      <c r="L69" s="573"/>
      <c r="M69" s="573"/>
    </row>
    <row r="70" spans="2:13" ht="13.5" customHeight="1">
      <c r="B70" s="864" t="s">
        <v>571</v>
      </c>
      <c r="C70" s="864" t="s">
        <v>572</v>
      </c>
      <c r="D70" s="865">
        <f>6934318.13</f>
        <v>6934318.13</v>
      </c>
      <c r="E70" s="865"/>
      <c r="F70" s="865">
        <f>20749431.74</f>
        <v>20749431.74</v>
      </c>
      <c r="G70" s="865"/>
      <c r="H70" s="593">
        <f t="shared" si="6"/>
        <v>19.695863145739416</v>
      </c>
      <c r="I70" s="593">
        <f t="shared" si="7"/>
        <v>299.2281483341751</v>
      </c>
      <c r="J70" s="573"/>
      <c r="K70" s="573"/>
      <c r="L70" s="573"/>
      <c r="M70" s="573"/>
    </row>
    <row r="71" spans="2:13" ht="13.5" customHeight="1">
      <c r="B71" s="866" t="s">
        <v>563</v>
      </c>
      <c r="C71" s="866" t="s">
        <v>564</v>
      </c>
      <c r="D71" s="865">
        <f>3774307.64</f>
        <v>3774307.64</v>
      </c>
      <c r="E71" s="865"/>
      <c r="F71" s="865">
        <f>317282.45</f>
        <v>317282.45</v>
      </c>
      <c r="G71" s="865"/>
      <c r="H71" s="593">
        <f t="shared" si="6"/>
        <v>0.3011721859205436</v>
      </c>
      <c r="I71" s="593">
        <f t="shared" si="7"/>
        <v>8.406374897410323</v>
      </c>
      <c r="J71" s="573"/>
      <c r="K71" s="573"/>
      <c r="L71" s="573"/>
      <c r="M71" s="573"/>
    </row>
    <row r="72" spans="2:13" ht="25.5" customHeight="1">
      <c r="B72" s="863" t="s">
        <v>573</v>
      </c>
      <c r="C72" s="861" t="s">
        <v>574</v>
      </c>
      <c r="D72" s="862">
        <f>35590070.83</f>
        <v>35590070.83</v>
      </c>
      <c r="E72" s="862"/>
      <c r="F72" s="862">
        <f>111301632.83</f>
        <v>111301632.83</v>
      </c>
      <c r="G72" s="862"/>
      <c r="H72" s="308">
        <f aca="true" t="shared" si="8" ref="H72:H80">IF($F$72=0,"",100*$F72/$F$72)</f>
        <v>100</v>
      </c>
      <c r="I72" s="591">
        <f t="shared" si="7"/>
        <v>312.7322599655529</v>
      </c>
      <c r="J72" s="573"/>
      <c r="K72" s="573"/>
      <c r="L72" s="573"/>
      <c r="M72" s="573"/>
    </row>
    <row r="73" spans="2:13" ht="13.5" customHeight="1">
      <c r="B73" s="864" t="s">
        <v>575</v>
      </c>
      <c r="C73" s="864" t="s">
        <v>576</v>
      </c>
      <c r="D73" s="865">
        <f>34738275</f>
        <v>34738275</v>
      </c>
      <c r="E73" s="865"/>
      <c r="F73" s="865">
        <f>18952188.52</f>
        <v>18952188.52</v>
      </c>
      <c r="G73" s="865"/>
      <c r="H73" s="593">
        <f t="shared" si="8"/>
        <v>17.02777222410314</v>
      </c>
      <c r="I73" s="593">
        <f t="shared" si="7"/>
        <v>54.55708010832432</v>
      </c>
      <c r="J73" s="573"/>
      <c r="K73" s="573"/>
      <c r="L73" s="573"/>
      <c r="M73" s="573"/>
    </row>
    <row r="74" spans="2:13" ht="45" customHeight="1">
      <c r="B74" s="866" t="s">
        <v>577</v>
      </c>
      <c r="C74" s="866" t="s">
        <v>558</v>
      </c>
      <c r="D74" s="865">
        <f>19771006</f>
        <v>19771006</v>
      </c>
      <c r="E74" s="865"/>
      <c r="F74" s="865">
        <f>11742022.79</f>
        <v>11742022.79</v>
      </c>
      <c r="G74" s="865"/>
      <c r="H74" s="593">
        <f t="shared" si="8"/>
        <v>10.54973093515577</v>
      </c>
      <c r="I74" s="593">
        <f t="shared" si="7"/>
        <v>59.39011292596846</v>
      </c>
      <c r="J74" s="573"/>
      <c r="K74" s="573"/>
      <c r="L74" s="573"/>
      <c r="M74" s="573"/>
    </row>
    <row r="75" spans="2:13" ht="13.5" customHeight="1">
      <c r="B75" s="864" t="s">
        <v>578</v>
      </c>
      <c r="C75" s="864" t="s">
        <v>579</v>
      </c>
      <c r="D75" s="865">
        <f>0</f>
        <v>0</v>
      </c>
      <c r="E75" s="865"/>
      <c r="F75" s="865">
        <f>0</f>
        <v>0</v>
      </c>
      <c r="G75" s="865"/>
      <c r="H75" s="593">
        <f t="shared" si="8"/>
        <v>0</v>
      </c>
      <c r="I75" s="593">
        <f t="shared" si="7"/>
      </c>
      <c r="J75" s="573"/>
      <c r="K75" s="573"/>
      <c r="L75" s="573"/>
      <c r="M75" s="573"/>
    </row>
    <row r="76" spans="2:13" ht="13.5" customHeight="1">
      <c r="B76" s="864" t="s">
        <v>580</v>
      </c>
      <c r="C76" s="864" t="s">
        <v>581</v>
      </c>
      <c r="D76" s="865">
        <f>0</f>
        <v>0</v>
      </c>
      <c r="E76" s="865"/>
      <c r="F76" s="865">
        <f>0</f>
        <v>0</v>
      </c>
      <c r="G76" s="865"/>
      <c r="H76" s="593">
        <f t="shared" si="8"/>
        <v>0</v>
      </c>
      <c r="I76" s="593">
        <f t="shared" si="7"/>
      </c>
      <c r="J76" s="573"/>
      <c r="K76" s="573"/>
      <c r="L76" s="573"/>
      <c r="M76" s="573"/>
    </row>
    <row r="77" spans="2:13" ht="45" customHeight="1">
      <c r="B77" s="866" t="s">
        <v>577</v>
      </c>
      <c r="C77" s="866" t="s">
        <v>558</v>
      </c>
      <c r="D77" s="865">
        <f>0</f>
        <v>0</v>
      </c>
      <c r="E77" s="865"/>
      <c r="F77" s="865">
        <f>0</f>
        <v>0</v>
      </c>
      <c r="G77" s="865"/>
      <c r="H77" s="593">
        <f t="shared" si="8"/>
        <v>0</v>
      </c>
      <c r="I77" s="593">
        <f t="shared" si="7"/>
      </c>
      <c r="J77" s="573"/>
      <c r="K77" s="573"/>
      <c r="L77" s="573"/>
      <c r="M77" s="573"/>
    </row>
    <row r="78" spans="2:13" ht="13.5" customHeight="1">
      <c r="B78" s="864" t="s">
        <v>582</v>
      </c>
      <c r="C78" s="864" t="s">
        <v>583</v>
      </c>
      <c r="D78" s="865">
        <f>0</f>
        <v>0</v>
      </c>
      <c r="E78" s="865"/>
      <c r="F78" s="865">
        <f>0</f>
        <v>0</v>
      </c>
      <c r="G78" s="865"/>
      <c r="H78" s="593">
        <f t="shared" si="8"/>
        <v>0</v>
      </c>
      <c r="I78" s="593">
        <f t="shared" si="7"/>
      </c>
      <c r="J78" s="573"/>
      <c r="K78" s="573"/>
      <c r="L78" s="573"/>
      <c r="M78" s="573"/>
    </row>
    <row r="79" spans="2:13" ht="45" customHeight="1">
      <c r="B79" s="866" t="s">
        <v>577</v>
      </c>
      <c r="C79" s="866" t="s">
        <v>558</v>
      </c>
      <c r="D79" s="865">
        <f>0</f>
        <v>0</v>
      </c>
      <c r="E79" s="865"/>
      <c r="F79" s="865">
        <f>0</f>
        <v>0</v>
      </c>
      <c r="G79" s="865"/>
      <c r="H79" s="593">
        <f t="shared" si="8"/>
        <v>0</v>
      </c>
      <c r="I79" s="593">
        <f t="shared" si="7"/>
      </c>
      <c r="J79" s="573"/>
      <c r="K79" s="573"/>
      <c r="L79" s="573"/>
      <c r="M79" s="573"/>
    </row>
    <row r="80" spans="2:13" ht="13.5" customHeight="1">
      <c r="B80" s="864" t="s">
        <v>584</v>
      </c>
      <c r="C80" s="864" t="s">
        <v>585</v>
      </c>
      <c r="D80" s="865">
        <f>851795.83</f>
        <v>851795.83</v>
      </c>
      <c r="E80" s="865"/>
      <c r="F80" s="865">
        <f>92349444.31</f>
        <v>92349444.31</v>
      </c>
      <c r="G80" s="865"/>
      <c r="H80" s="593">
        <f t="shared" si="8"/>
        <v>82.97222777589687</v>
      </c>
      <c r="I80" s="593">
        <f t="shared" si="7"/>
        <v>10841.734727675293</v>
      </c>
      <c r="J80" s="573"/>
      <c r="K80" s="573"/>
      <c r="L80" s="573"/>
      <c r="M80" s="573"/>
    </row>
    <row r="81" spans="2:13" ht="12.75">
      <c r="B81" s="573"/>
      <c r="C81" s="573"/>
      <c r="D81" s="573"/>
      <c r="E81" s="573"/>
      <c r="F81" s="573"/>
      <c r="G81" s="573"/>
      <c r="H81" s="573"/>
      <c r="I81" s="573"/>
      <c r="J81" s="573"/>
      <c r="K81" s="573"/>
      <c r="L81" s="573"/>
      <c r="M81" s="573"/>
    </row>
    <row r="82" spans="2:13" ht="12.75">
      <c r="B82" s="573"/>
      <c r="C82" s="573"/>
      <c r="D82" s="573"/>
      <c r="E82" s="573"/>
      <c r="F82" s="573"/>
      <c r="G82" s="573"/>
      <c r="H82" s="573"/>
      <c r="I82" s="573"/>
      <c r="J82" s="573"/>
      <c r="K82" s="573"/>
      <c r="L82" s="573"/>
      <c r="M82" s="573"/>
    </row>
    <row r="83" spans="2:13" ht="12.75">
      <c r="B83" s="573"/>
      <c r="C83" s="573"/>
      <c r="D83" s="573"/>
      <c r="E83" s="573"/>
      <c r="F83" s="573"/>
      <c r="G83" s="573"/>
      <c r="H83" s="573"/>
      <c r="I83" s="573"/>
      <c r="J83" s="573"/>
      <c r="K83" s="573"/>
      <c r="L83" s="573"/>
      <c r="M83" s="573"/>
    </row>
    <row r="84" spans="2:13" ht="12.75">
      <c r="B84" s="603" t="s">
        <v>586</v>
      </c>
      <c r="C84" s="603">
        <f>2</f>
        <v>2</v>
      </c>
      <c r="D84" s="603" t="s">
        <v>697</v>
      </c>
      <c r="E84" s="573"/>
      <c r="F84" s="573"/>
      <c r="G84" s="573"/>
      <c r="H84" s="573"/>
      <c r="I84" s="573"/>
      <c r="J84" s="573"/>
      <c r="K84" s="573"/>
      <c r="L84" s="573"/>
      <c r="M84" s="573"/>
    </row>
    <row r="85" spans="2:13" ht="12.75">
      <c r="B85" s="603" t="s">
        <v>587</v>
      </c>
      <c r="C85" s="603">
        <f>2008</f>
        <v>2008</v>
      </c>
      <c r="D85" s="573"/>
      <c r="E85" s="573"/>
      <c r="F85" s="573"/>
      <c r="G85" s="573"/>
      <c r="H85" s="573"/>
      <c r="I85" s="573"/>
      <c r="J85" s="573"/>
      <c r="K85" s="573"/>
      <c r="L85" s="573"/>
      <c r="M85" s="573"/>
    </row>
    <row r="86" spans="2:13" ht="12.75">
      <c r="B86" s="603" t="s">
        <v>588</v>
      </c>
      <c r="C86" s="604" t="str">
        <f>"Aug 18 2008 12:00AM"</f>
        <v>Aug 18 2008 12:00AM</v>
      </c>
      <c r="D86" s="573"/>
      <c r="E86" s="573"/>
      <c r="F86" s="573"/>
      <c r="G86" s="573"/>
      <c r="H86" s="573"/>
      <c r="I86" s="573"/>
      <c r="J86" s="573"/>
      <c r="K86" s="573"/>
      <c r="L86" s="573"/>
      <c r="M86" s="573"/>
    </row>
    <row r="87" spans="2:13" ht="12.75">
      <c r="B87" s="573"/>
      <c r="C87" s="573"/>
      <c r="D87" s="573"/>
      <c r="E87" s="573"/>
      <c r="F87" s="573"/>
      <c r="G87" s="573"/>
      <c r="H87" s="573"/>
      <c r="I87" s="573"/>
      <c r="J87" s="573"/>
      <c r="K87" s="573"/>
      <c r="L87" s="573"/>
      <c r="M87" s="573"/>
    </row>
    <row r="88" spans="2:13" ht="12.75">
      <c r="B88" s="573"/>
      <c r="C88" s="573"/>
      <c r="D88" s="573"/>
      <c r="E88" s="573"/>
      <c r="F88" s="573"/>
      <c r="G88" s="573"/>
      <c r="H88" s="573"/>
      <c r="I88" s="573"/>
      <c r="J88" s="573"/>
      <c r="K88" s="573"/>
      <c r="L88" s="573"/>
      <c r="M88" s="573"/>
    </row>
    <row r="89" spans="2:13" ht="12.75">
      <c r="B89" s="573"/>
      <c r="C89" s="573"/>
      <c r="D89" s="573"/>
      <c r="E89" s="573"/>
      <c r="F89" s="573"/>
      <c r="G89" s="573"/>
      <c r="H89" s="573"/>
      <c r="I89" s="573"/>
      <c r="J89" s="573"/>
      <c r="K89" s="573"/>
      <c r="L89" s="573"/>
      <c r="M89" s="573"/>
    </row>
    <row r="90" spans="2:13" ht="12.75">
      <c r="B90" s="573"/>
      <c r="C90" s="573"/>
      <c r="D90" s="573"/>
      <c r="E90" s="573"/>
      <c r="F90" s="573"/>
      <c r="G90" s="573"/>
      <c r="H90" s="573"/>
      <c r="I90" s="573"/>
      <c r="J90" s="573"/>
      <c r="K90" s="573"/>
      <c r="L90" s="573"/>
      <c r="M90" s="573"/>
    </row>
    <row r="91" spans="2:13" ht="12.75">
      <c r="B91" s="573"/>
      <c r="C91" s="573"/>
      <c r="D91" s="573"/>
      <c r="E91" s="573"/>
      <c r="F91" s="573"/>
      <c r="G91" s="573"/>
      <c r="H91" s="573"/>
      <c r="I91" s="573"/>
      <c r="J91" s="573"/>
      <c r="K91" s="573"/>
      <c r="L91" s="573"/>
      <c r="M91" s="573"/>
    </row>
    <row r="92" spans="2:13" ht="12.75">
      <c r="B92" s="573"/>
      <c r="C92" s="573"/>
      <c r="D92" s="573"/>
      <c r="E92" s="573"/>
      <c r="F92" s="573"/>
      <c r="G92" s="573"/>
      <c r="H92" s="573"/>
      <c r="I92" s="573"/>
      <c r="J92" s="573"/>
      <c r="K92" s="573"/>
      <c r="L92" s="573"/>
      <c r="M92" s="573"/>
    </row>
    <row r="93" spans="2:13" ht="12.75">
      <c r="B93" s="573"/>
      <c r="C93" s="573"/>
      <c r="D93" s="573"/>
      <c r="E93" s="573"/>
      <c r="F93" s="573"/>
      <c r="G93" s="573"/>
      <c r="H93" s="573"/>
      <c r="I93" s="573"/>
      <c r="J93" s="573"/>
      <c r="K93" s="573"/>
      <c r="L93" s="573"/>
      <c r="M93" s="573"/>
    </row>
    <row r="94" spans="2:13" ht="12.75"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</row>
    <row r="95" spans="2:13" ht="12.75">
      <c r="B95" s="573"/>
      <c r="C95" s="573"/>
      <c r="D95" s="573"/>
      <c r="E95" s="573"/>
      <c r="F95" s="573"/>
      <c r="G95" s="573"/>
      <c r="H95" s="573"/>
      <c r="I95" s="573"/>
      <c r="J95" s="573"/>
      <c r="K95" s="573"/>
      <c r="L95" s="573"/>
      <c r="M95" s="573"/>
    </row>
  </sheetData>
  <sheetProtection/>
  <mergeCells count="108">
    <mergeCell ref="I43:J43"/>
    <mergeCell ref="I44:J44"/>
    <mergeCell ref="I45:J45"/>
    <mergeCell ref="I46:J46"/>
    <mergeCell ref="I40:J40"/>
    <mergeCell ref="I39:J39"/>
    <mergeCell ref="I41:J41"/>
    <mergeCell ref="I42:J42"/>
    <mergeCell ref="I35:J35"/>
    <mergeCell ref="I36:J36"/>
    <mergeCell ref="I37:J37"/>
    <mergeCell ref="I38:J38"/>
    <mergeCell ref="I34:J34"/>
    <mergeCell ref="H56:I56"/>
    <mergeCell ref="B1:M1"/>
    <mergeCell ref="B53:M53"/>
    <mergeCell ref="I30:J32"/>
    <mergeCell ref="D30:D32"/>
    <mergeCell ref="E30:E32"/>
    <mergeCell ref="F31:F32"/>
    <mergeCell ref="F30:H30"/>
    <mergeCell ref="G31:H31"/>
    <mergeCell ref="D79:E79"/>
    <mergeCell ref="F79:G79"/>
    <mergeCell ref="B76:C76"/>
    <mergeCell ref="D76:E76"/>
    <mergeCell ref="F76:G76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9:C79"/>
    <mergeCell ref="B75:C75"/>
    <mergeCell ref="D75:E75"/>
    <mergeCell ref="F75:G75"/>
    <mergeCell ref="B73:C73"/>
    <mergeCell ref="D73:E73"/>
    <mergeCell ref="F73:G73"/>
    <mergeCell ref="B74:C74"/>
    <mergeCell ref="D74:E74"/>
    <mergeCell ref="F74:G74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2:C62"/>
    <mergeCell ref="D62:E62"/>
    <mergeCell ref="F62:G62"/>
    <mergeCell ref="B60:C60"/>
    <mergeCell ref="D60:E60"/>
    <mergeCell ref="F60:G60"/>
    <mergeCell ref="B61:C61"/>
    <mergeCell ref="D61:E61"/>
    <mergeCell ref="F61:G61"/>
    <mergeCell ref="B58:C58"/>
    <mergeCell ref="D58:E58"/>
    <mergeCell ref="F58:G58"/>
    <mergeCell ref="B59:C59"/>
    <mergeCell ref="D59:E59"/>
    <mergeCell ref="F59:G59"/>
    <mergeCell ref="B57:C57"/>
    <mergeCell ref="D57:E57"/>
    <mergeCell ref="F57:G57"/>
    <mergeCell ref="B55:C56"/>
    <mergeCell ref="D55:E55"/>
    <mergeCell ref="F55:G55"/>
    <mergeCell ref="D56:G56"/>
    <mergeCell ref="L30:L32"/>
    <mergeCell ref="B3:B4"/>
    <mergeCell ref="C30:C32"/>
    <mergeCell ref="B30:B33"/>
    <mergeCell ref="K30:K32"/>
    <mergeCell ref="K33:L33"/>
    <mergeCell ref="F4:H4"/>
    <mergeCell ref="B28:M28"/>
    <mergeCell ref="C33:J33"/>
    <mergeCell ref="C4:E4"/>
  </mergeCells>
  <printOptions/>
  <pageMargins left="0.18" right="0.18" top="0.5511811023622047" bottom="0.3937007874015748" header="0.31496062992125984" footer="0.1968503937007874"/>
  <pageSetup horizontalDpi="600" verticalDpi="600" orientation="landscape" paperSize="9" scale="95" r:id="rId3"/>
  <headerFooter alignWithMargins="0">
    <oddFooter>&amp;R&amp;9str. &amp;P z &amp;N</oddFooter>
  </headerFooter>
  <rowBreaks count="1" manualBreakCount="1">
    <brk id="71" min="1" max="12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3"/>
  <dimension ref="A1:Q53"/>
  <sheetViews>
    <sheetView showGridLines="0" zoomScaleSheetLayoutView="100" workbookViewId="0" topLeftCell="A1">
      <selection activeCell="A24" sqref="A24:M24"/>
    </sheetView>
  </sheetViews>
  <sheetFormatPr defaultColWidth="9.140625" defaultRowHeight="13.5" customHeight="1"/>
  <cols>
    <col min="1" max="1" width="22.57421875" style="313" customWidth="1"/>
    <col min="2" max="6" width="11.421875" style="313" customWidth="1"/>
    <col min="7" max="7" width="12.140625" style="313" customWidth="1"/>
    <col min="8" max="8" width="12.00390625" style="313" customWidth="1"/>
    <col min="9" max="9" width="11.7109375" style="313" customWidth="1"/>
    <col min="10" max="10" width="12.8515625" style="313" customWidth="1"/>
    <col min="11" max="11" width="12.140625" style="313" customWidth="1"/>
    <col min="12" max="12" width="11.421875" style="313" customWidth="1"/>
    <col min="13" max="13" width="10.00390625" style="313" customWidth="1"/>
    <col min="14" max="14" width="10.28125" style="313" customWidth="1"/>
    <col min="15" max="16384" width="9.140625" style="313" customWidth="1"/>
  </cols>
  <sheetData>
    <row r="1" spans="1:17" ht="75" customHeight="1">
      <c r="A1" s="637" t="str">
        <f>CONCATENATE("Informacja z wykonania budżetów związków jednostek samorządu terytorialnego za ",$C$51," ",$B$52," roku")</f>
        <v>Informacja z wykonania budżetów związków jednostek samorządu terytorialnego za 2 kwartały 2008 roku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327"/>
      <c r="O1" s="327"/>
      <c r="P1" s="327"/>
      <c r="Q1" s="327"/>
    </row>
    <row r="2" spans="1:17" ht="13.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327"/>
      <c r="O2" s="327"/>
      <c r="P2" s="327"/>
      <c r="Q2" s="327"/>
    </row>
    <row r="3" spans="1:17" ht="13.5" customHeight="1">
      <c r="A3" s="639" t="s">
        <v>604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327"/>
      <c r="O3" s="327"/>
      <c r="P3" s="327"/>
      <c r="Q3" s="327"/>
    </row>
    <row r="4" spans="1:17" ht="13.5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spans="1:17" ht="13.5" customHeight="1">
      <c r="A5" s="327"/>
      <c r="B5" s="314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328"/>
      <c r="O5" s="328"/>
      <c r="P5" s="328"/>
      <c r="Q5" s="328"/>
    </row>
    <row r="6" spans="1:17" ht="13.5" customHeight="1">
      <c r="A6" s="641" t="s">
        <v>460</v>
      </c>
      <c r="B6" s="640" t="s">
        <v>605</v>
      </c>
      <c r="C6" s="628" t="s">
        <v>606</v>
      </c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30"/>
      <c r="O6" s="628" t="s">
        <v>607</v>
      </c>
      <c r="P6" s="629"/>
      <c r="Q6" s="630"/>
    </row>
    <row r="7" spans="1:17" ht="13.5" customHeight="1">
      <c r="A7" s="642"/>
      <c r="B7" s="636"/>
      <c r="C7" s="634" t="s">
        <v>608</v>
      </c>
      <c r="D7" s="634" t="s">
        <v>609</v>
      </c>
      <c r="E7" s="634" t="s">
        <v>610</v>
      </c>
      <c r="F7" s="634" t="s">
        <v>611</v>
      </c>
      <c r="G7" s="634" t="s">
        <v>612</v>
      </c>
      <c r="H7" s="634" t="s">
        <v>613</v>
      </c>
      <c r="I7" s="652" t="s">
        <v>614</v>
      </c>
      <c r="J7" s="634" t="s">
        <v>615</v>
      </c>
      <c r="K7" s="634" t="s">
        <v>616</v>
      </c>
      <c r="L7" s="634" t="s">
        <v>617</v>
      </c>
      <c r="M7" s="634" t="s">
        <v>618</v>
      </c>
      <c r="N7" s="636" t="s">
        <v>619</v>
      </c>
      <c r="O7" s="635" t="s">
        <v>620</v>
      </c>
      <c r="P7" s="635" t="s">
        <v>621</v>
      </c>
      <c r="Q7" s="635" t="s">
        <v>622</v>
      </c>
    </row>
    <row r="8" spans="1:17" ht="13.5" customHeight="1">
      <c r="A8" s="642"/>
      <c r="B8" s="636"/>
      <c r="C8" s="635"/>
      <c r="D8" s="635"/>
      <c r="E8" s="635"/>
      <c r="F8" s="635"/>
      <c r="G8" s="635"/>
      <c r="H8" s="635"/>
      <c r="I8" s="652"/>
      <c r="J8" s="635"/>
      <c r="K8" s="635"/>
      <c r="L8" s="635"/>
      <c r="M8" s="635"/>
      <c r="N8" s="636"/>
      <c r="O8" s="635"/>
      <c r="P8" s="635"/>
      <c r="Q8" s="635"/>
    </row>
    <row r="9" spans="1:17" ht="13.5" customHeight="1">
      <c r="A9" s="642"/>
      <c r="B9" s="636"/>
      <c r="C9" s="635"/>
      <c r="D9" s="635"/>
      <c r="E9" s="635"/>
      <c r="F9" s="635"/>
      <c r="G9" s="635"/>
      <c r="H9" s="635"/>
      <c r="I9" s="652"/>
      <c r="J9" s="635"/>
      <c r="K9" s="635"/>
      <c r="L9" s="635"/>
      <c r="M9" s="635"/>
      <c r="N9" s="636"/>
      <c r="O9" s="635"/>
      <c r="P9" s="635"/>
      <c r="Q9" s="635"/>
    </row>
    <row r="10" spans="1:17" ht="11.25" customHeight="1">
      <c r="A10" s="642"/>
      <c r="B10" s="636"/>
      <c r="C10" s="635"/>
      <c r="D10" s="635"/>
      <c r="E10" s="635"/>
      <c r="F10" s="635"/>
      <c r="G10" s="635"/>
      <c r="H10" s="635"/>
      <c r="I10" s="652"/>
      <c r="J10" s="635"/>
      <c r="K10" s="635"/>
      <c r="L10" s="635"/>
      <c r="M10" s="635"/>
      <c r="N10" s="636"/>
      <c r="O10" s="635"/>
      <c r="P10" s="635"/>
      <c r="Q10" s="635"/>
    </row>
    <row r="11" spans="1:17" ht="11.25" customHeight="1">
      <c r="A11" s="643"/>
      <c r="B11" s="634"/>
      <c r="C11" s="635"/>
      <c r="D11" s="635"/>
      <c r="E11" s="635"/>
      <c r="F11" s="635"/>
      <c r="G11" s="635"/>
      <c r="H11" s="635"/>
      <c r="I11" s="653"/>
      <c r="J11" s="635"/>
      <c r="K11" s="635"/>
      <c r="L11" s="635"/>
      <c r="M11" s="635"/>
      <c r="N11" s="634"/>
      <c r="O11" s="635"/>
      <c r="P11" s="635"/>
      <c r="Q11" s="635"/>
    </row>
    <row r="12" spans="1:17" ht="13.5" customHeight="1">
      <c r="A12" s="312">
        <v>1</v>
      </c>
      <c r="B12" s="312">
        <v>2</v>
      </c>
      <c r="C12" s="312">
        <v>3</v>
      </c>
      <c r="D12" s="312">
        <v>4</v>
      </c>
      <c r="E12" s="312">
        <v>5</v>
      </c>
      <c r="F12" s="312">
        <v>6</v>
      </c>
      <c r="G12" s="312">
        <v>7</v>
      </c>
      <c r="H12" s="312">
        <v>8</v>
      </c>
      <c r="I12" s="312">
        <v>9</v>
      </c>
      <c r="J12" s="312">
        <v>10</v>
      </c>
      <c r="K12" s="312">
        <v>11</v>
      </c>
      <c r="L12" s="312">
        <v>12</v>
      </c>
      <c r="M12" s="312">
        <v>13</v>
      </c>
      <c r="N12" s="312">
        <v>14</v>
      </c>
      <c r="O12" s="312">
        <v>15</v>
      </c>
      <c r="P12" s="312">
        <v>16</v>
      </c>
      <c r="Q12" s="312">
        <v>17</v>
      </c>
    </row>
    <row r="13" spans="1:17" ht="21.75" customHeight="1">
      <c r="A13" s="329" t="s">
        <v>623</v>
      </c>
      <c r="B13" s="330">
        <f>141827193</f>
        <v>141827193</v>
      </c>
      <c r="C13" s="330">
        <f>141827193</f>
        <v>141827193</v>
      </c>
      <c r="D13" s="330">
        <f>118238977.58</f>
        <v>118238977.58</v>
      </c>
      <c r="E13" s="330">
        <f>42634595.9</f>
        <v>42634595.9</v>
      </c>
      <c r="F13" s="330">
        <f>26537130.6</f>
        <v>26537130.6</v>
      </c>
      <c r="G13" s="330">
        <f>49066524.83</f>
        <v>49066524.83</v>
      </c>
      <c r="H13" s="330">
        <f>726.25</f>
        <v>726.25</v>
      </c>
      <c r="I13" s="330">
        <f>0</f>
        <v>0</v>
      </c>
      <c r="J13" s="330">
        <f>15321043.11</f>
        <v>15321043.11</v>
      </c>
      <c r="K13" s="330">
        <f>0</f>
        <v>0</v>
      </c>
      <c r="L13" s="330">
        <f>8251991.21</f>
        <v>8251991.21</v>
      </c>
      <c r="M13" s="330">
        <f>15181.1</f>
        <v>15181.1</v>
      </c>
      <c r="N13" s="330">
        <f>0</f>
        <v>0</v>
      </c>
      <c r="O13" s="330">
        <f>0</f>
        <v>0</v>
      </c>
      <c r="P13" s="330">
        <f>0</f>
        <v>0</v>
      </c>
      <c r="Q13" s="330">
        <f>0</f>
        <v>0</v>
      </c>
    </row>
    <row r="14" spans="1:17" ht="20.25" customHeight="1">
      <c r="A14" s="605" t="s">
        <v>624</v>
      </c>
      <c r="B14" s="330">
        <f>33999</f>
        <v>33999</v>
      </c>
      <c r="C14" s="330">
        <f>33999</f>
        <v>33999</v>
      </c>
      <c r="D14" s="330">
        <f>0</f>
        <v>0</v>
      </c>
      <c r="E14" s="330">
        <f>0</f>
        <v>0</v>
      </c>
      <c r="F14" s="330">
        <f>0</f>
        <v>0</v>
      </c>
      <c r="G14" s="330">
        <f>0</f>
        <v>0</v>
      </c>
      <c r="H14" s="330">
        <f>0</f>
        <v>0</v>
      </c>
      <c r="I14" s="330">
        <f>0</f>
        <v>0</v>
      </c>
      <c r="J14" s="330">
        <f>33999</f>
        <v>33999</v>
      </c>
      <c r="K14" s="330">
        <f>0</f>
        <v>0</v>
      </c>
      <c r="L14" s="330">
        <f>0</f>
        <v>0</v>
      </c>
      <c r="M14" s="330">
        <f>0</f>
        <v>0</v>
      </c>
      <c r="N14" s="330">
        <f>0</f>
        <v>0</v>
      </c>
      <c r="O14" s="330">
        <f>0</f>
        <v>0</v>
      </c>
      <c r="P14" s="330">
        <f>0</f>
        <v>0</v>
      </c>
      <c r="Q14" s="330">
        <f>0</f>
        <v>0</v>
      </c>
    </row>
    <row r="15" spans="1:17" ht="15" customHeight="1">
      <c r="A15" s="606" t="s">
        <v>625</v>
      </c>
      <c r="B15" s="330">
        <f>0</f>
        <v>0</v>
      </c>
      <c r="C15" s="330">
        <f>0</f>
        <v>0</v>
      </c>
      <c r="D15" s="330">
        <f>0</f>
        <v>0</v>
      </c>
      <c r="E15" s="330">
        <f>0</f>
        <v>0</v>
      </c>
      <c r="F15" s="330">
        <f>0</f>
        <v>0</v>
      </c>
      <c r="G15" s="330">
        <f>0</f>
        <v>0</v>
      </c>
      <c r="H15" s="330">
        <f>0</f>
        <v>0</v>
      </c>
      <c r="I15" s="330">
        <f>0</f>
        <v>0</v>
      </c>
      <c r="J15" s="330">
        <f>0</f>
        <v>0</v>
      </c>
      <c r="K15" s="330">
        <f>0</f>
        <v>0</v>
      </c>
      <c r="L15" s="330">
        <f>0</f>
        <v>0</v>
      </c>
      <c r="M15" s="330">
        <f>0</f>
        <v>0</v>
      </c>
      <c r="N15" s="330">
        <f>0</f>
        <v>0</v>
      </c>
      <c r="O15" s="330">
        <f>0</f>
        <v>0</v>
      </c>
      <c r="P15" s="330">
        <f>0</f>
        <v>0</v>
      </c>
      <c r="Q15" s="330">
        <f>0</f>
        <v>0</v>
      </c>
    </row>
    <row r="16" spans="1:17" ht="16.5" customHeight="1">
      <c r="A16" s="606" t="s">
        <v>626</v>
      </c>
      <c r="B16" s="330">
        <f>33999</f>
        <v>33999</v>
      </c>
      <c r="C16" s="330">
        <f>33999</f>
        <v>33999</v>
      </c>
      <c r="D16" s="330">
        <f>0</f>
        <v>0</v>
      </c>
      <c r="E16" s="330">
        <f>0</f>
        <v>0</v>
      </c>
      <c r="F16" s="330">
        <f>0</f>
        <v>0</v>
      </c>
      <c r="G16" s="330">
        <f>0</f>
        <v>0</v>
      </c>
      <c r="H16" s="330">
        <f>0</f>
        <v>0</v>
      </c>
      <c r="I16" s="330">
        <f>0</f>
        <v>0</v>
      </c>
      <c r="J16" s="330">
        <f>33999</f>
        <v>33999</v>
      </c>
      <c r="K16" s="330">
        <f>0</f>
        <v>0</v>
      </c>
      <c r="L16" s="330">
        <f>0</f>
        <v>0</v>
      </c>
      <c r="M16" s="330">
        <f>0</f>
        <v>0</v>
      </c>
      <c r="N16" s="330">
        <f>0</f>
        <v>0</v>
      </c>
      <c r="O16" s="330">
        <f>0</f>
        <v>0</v>
      </c>
      <c r="P16" s="330">
        <f>0</f>
        <v>0</v>
      </c>
      <c r="Q16" s="330">
        <f>0</f>
        <v>0</v>
      </c>
    </row>
    <row r="17" spans="1:17" ht="21" customHeight="1">
      <c r="A17" s="607" t="s">
        <v>627</v>
      </c>
      <c r="B17" s="330">
        <f>132672241.6</f>
        <v>132672241.6</v>
      </c>
      <c r="C17" s="330">
        <f>132672241.6</f>
        <v>132672241.6</v>
      </c>
      <c r="D17" s="330">
        <f>116889867.07</f>
        <v>116889867.07</v>
      </c>
      <c r="E17" s="330">
        <f>42197498.95</f>
        <v>42197498.95</v>
      </c>
      <c r="F17" s="330">
        <f>26438936.74</f>
        <v>26438936.74</v>
      </c>
      <c r="G17" s="330">
        <f>48253431.38</f>
        <v>48253431.38</v>
      </c>
      <c r="H17" s="330">
        <f>0</f>
        <v>0</v>
      </c>
      <c r="I17" s="330">
        <f>0</f>
        <v>0</v>
      </c>
      <c r="J17" s="330">
        <f>15282374.53</f>
        <v>15282374.53</v>
      </c>
      <c r="K17" s="330">
        <f>0</f>
        <v>0</v>
      </c>
      <c r="L17" s="330">
        <f>500000</f>
        <v>500000</v>
      </c>
      <c r="M17" s="330">
        <f>0</f>
        <v>0</v>
      </c>
      <c r="N17" s="330">
        <f>0</f>
        <v>0</v>
      </c>
      <c r="O17" s="330">
        <f>0</f>
        <v>0</v>
      </c>
      <c r="P17" s="330">
        <f>0</f>
        <v>0</v>
      </c>
      <c r="Q17" s="330">
        <f>0</f>
        <v>0</v>
      </c>
    </row>
    <row r="18" spans="1:17" ht="15" customHeight="1">
      <c r="A18" s="608" t="s">
        <v>628</v>
      </c>
      <c r="B18" s="330">
        <f>135000</f>
        <v>135000</v>
      </c>
      <c r="C18" s="330">
        <f>135000</f>
        <v>135000</v>
      </c>
      <c r="D18" s="330">
        <f>25000</f>
        <v>25000</v>
      </c>
      <c r="E18" s="330">
        <f>0</f>
        <v>0</v>
      </c>
      <c r="F18" s="330">
        <f>25000</f>
        <v>25000</v>
      </c>
      <c r="G18" s="330">
        <f>0</f>
        <v>0</v>
      </c>
      <c r="H18" s="330">
        <f>0</f>
        <v>0</v>
      </c>
      <c r="I18" s="330">
        <f>0</f>
        <v>0</v>
      </c>
      <c r="J18" s="330">
        <f>110000</f>
        <v>110000</v>
      </c>
      <c r="K18" s="330">
        <f>0</f>
        <v>0</v>
      </c>
      <c r="L18" s="330">
        <f>0</f>
        <v>0</v>
      </c>
      <c r="M18" s="330">
        <f>0</f>
        <v>0</v>
      </c>
      <c r="N18" s="330">
        <f>0</f>
        <v>0</v>
      </c>
      <c r="O18" s="330">
        <f>0</f>
        <v>0</v>
      </c>
      <c r="P18" s="330">
        <f>0</f>
        <v>0</v>
      </c>
      <c r="Q18" s="330">
        <f>0</f>
        <v>0</v>
      </c>
    </row>
    <row r="19" spans="1:17" ht="15" customHeight="1">
      <c r="A19" s="609" t="s">
        <v>629</v>
      </c>
      <c r="B19" s="330">
        <f>132537241.6</f>
        <v>132537241.6</v>
      </c>
      <c r="C19" s="330">
        <f>132537241.6</f>
        <v>132537241.6</v>
      </c>
      <c r="D19" s="330">
        <f>116864867.07</f>
        <v>116864867.07</v>
      </c>
      <c r="E19" s="330">
        <f>42197498.95</f>
        <v>42197498.95</v>
      </c>
      <c r="F19" s="330">
        <f>26413936.74</f>
        <v>26413936.74</v>
      </c>
      <c r="G19" s="330">
        <f>48253431.38</f>
        <v>48253431.38</v>
      </c>
      <c r="H19" s="330">
        <f>0</f>
        <v>0</v>
      </c>
      <c r="I19" s="330">
        <f>0</f>
        <v>0</v>
      </c>
      <c r="J19" s="330">
        <f>15172374.53</f>
        <v>15172374.53</v>
      </c>
      <c r="K19" s="330">
        <f>0</f>
        <v>0</v>
      </c>
      <c r="L19" s="330">
        <f>500000</f>
        <v>500000</v>
      </c>
      <c r="M19" s="330">
        <f>0</f>
        <v>0</v>
      </c>
      <c r="N19" s="330">
        <f>0</f>
        <v>0</v>
      </c>
      <c r="O19" s="330">
        <f>0</f>
        <v>0</v>
      </c>
      <c r="P19" s="330">
        <f>0</f>
        <v>0</v>
      </c>
      <c r="Q19" s="330">
        <f>0</f>
        <v>0</v>
      </c>
    </row>
    <row r="20" spans="1:17" ht="17.25" customHeight="1">
      <c r="A20" s="610" t="s">
        <v>630</v>
      </c>
      <c r="B20" s="330">
        <f>206394</f>
        <v>206394</v>
      </c>
      <c r="C20" s="330">
        <f>206394</f>
        <v>206394</v>
      </c>
      <c r="D20" s="330">
        <f>155000</f>
        <v>155000</v>
      </c>
      <c r="E20" s="330">
        <f>0</f>
        <v>0</v>
      </c>
      <c r="F20" s="330">
        <f>0</f>
        <v>0</v>
      </c>
      <c r="G20" s="330">
        <f>155000</f>
        <v>155000</v>
      </c>
      <c r="H20" s="330">
        <f>0</f>
        <v>0</v>
      </c>
      <c r="I20" s="330">
        <f>0</f>
        <v>0</v>
      </c>
      <c r="J20" s="330">
        <f>0</f>
        <v>0</v>
      </c>
      <c r="K20" s="330">
        <f>0</f>
        <v>0</v>
      </c>
      <c r="L20" s="330">
        <f>51394</f>
        <v>51394</v>
      </c>
      <c r="M20" s="330">
        <f>0</f>
        <v>0</v>
      </c>
      <c r="N20" s="330">
        <f>0</f>
        <v>0</v>
      </c>
      <c r="O20" s="330">
        <f>0</f>
        <v>0</v>
      </c>
      <c r="P20" s="330">
        <f>0</f>
        <v>0</v>
      </c>
      <c r="Q20" s="330">
        <f>0</f>
        <v>0</v>
      </c>
    </row>
    <row r="21" spans="1:17" ht="20.25" customHeight="1">
      <c r="A21" s="605" t="s">
        <v>631</v>
      </c>
      <c r="B21" s="330">
        <f>8914558.4</f>
        <v>8914558.4</v>
      </c>
      <c r="C21" s="330">
        <f>8914558.4</f>
        <v>8914558.4</v>
      </c>
      <c r="D21" s="330">
        <f>1194110.51</f>
        <v>1194110.51</v>
      </c>
      <c r="E21" s="330">
        <f>437096.95</f>
        <v>437096.95</v>
      </c>
      <c r="F21" s="330">
        <f>98193.86</f>
        <v>98193.86</v>
      </c>
      <c r="G21" s="330">
        <f>658093.45</f>
        <v>658093.45</v>
      </c>
      <c r="H21" s="330">
        <f>726.25</f>
        <v>726.25</v>
      </c>
      <c r="I21" s="330">
        <f>0</f>
        <v>0</v>
      </c>
      <c r="J21" s="330">
        <f>4669.58</f>
        <v>4669.58</v>
      </c>
      <c r="K21" s="330">
        <f>0</f>
        <v>0</v>
      </c>
      <c r="L21" s="330">
        <f>7700597.21</f>
        <v>7700597.21</v>
      </c>
      <c r="M21" s="330">
        <f>15181.1</f>
        <v>15181.1</v>
      </c>
      <c r="N21" s="330">
        <f>0</f>
        <v>0</v>
      </c>
      <c r="O21" s="330">
        <f>0</f>
        <v>0</v>
      </c>
      <c r="P21" s="330">
        <f>0</f>
        <v>0</v>
      </c>
      <c r="Q21" s="330">
        <f>0</f>
        <v>0</v>
      </c>
    </row>
    <row r="22" spans="1:17" ht="30" customHeight="1">
      <c r="A22" s="606" t="s">
        <v>632</v>
      </c>
      <c r="B22" s="330">
        <f>8789920.72</f>
        <v>8789920.72</v>
      </c>
      <c r="C22" s="330">
        <f>8789920.72</f>
        <v>8789920.72</v>
      </c>
      <c r="D22" s="330">
        <f>1090652.96</f>
        <v>1090652.96</v>
      </c>
      <c r="E22" s="330">
        <f>395384.85</f>
        <v>395384.85</v>
      </c>
      <c r="F22" s="330">
        <f>98193.86</f>
        <v>98193.86</v>
      </c>
      <c r="G22" s="330">
        <f>597074.25</f>
        <v>597074.25</v>
      </c>
      <c r="H22" s="330">
        <f>0</f>
        <v>0</v>
      </c>
      <c r="I22" s="330">
        <f>0</f>
        <v>0</v>
      </c>
      <c r="J22" s="330">
        <f>0</f>
        <v>0</v>
      </c>
      <c r="K22" s="330">
        <f>0</f>
        <v>0</v>
      </c>
      <c r="L22" s="330">
        <f>7699267.76</f>
        <v>7699267.76</v>
      </c>
      <c r="M22" s="330">
        <f>0</f>
        <v>0</v>
      </c>
      <c r="N22" s="330">
        <f>0</f>
        <v>0</v>
      </c>
      <c r="O22" s="330">
        <f>0</f>
        <v>0</v>
      </c>
      <c r="P22" s="330">
        <f>0</f>
        <v>0</v>
      </c>
      <c r="Q22" s="330">
        <f>0</f>
        <v>0</v>
      </c>
    </row>
    <row r="23" spans="1:17" ht="19.5" customHeight="1" thickBot="1">
      <c r="A23" s="611" t="s">
        <v>633</v>
      </c>
      <c r="B23" s="330">
        <f>124637.68</f>
        <v>124637.68</v>
      </c>
      <c r="C23" s="330">
        <f>124637.68</f>
        <v>124637.68</v>
      </c>
      <c r="D23" s="330">
        <f>103457.55</f>
        <v>103457.55</v>
      </c>
      <c r="E23" s="330">
        <f>41712.1</f>
        <v>41712.1</v>
      </c>
      <c r="F23" s="330">
        <f>0</f>
        <v>0</v>
      </c>
      <c r="G23" s="330">
        <f>61019.2</f>
        <v>61019.2</v>
      </c>
      <c r="H23" s="330">
        <f>726.25</f>
        <v>726.25</v>
      </c>
      <c r="I23" s="330">
        <f>0</f>
        <v>0</v>
      </c>
      <c r="J23" s="330">
        <f>4669.58</f>
        <v>4669.58</v>
      </c>
      <c r="K23" s="330">
        <f>0</f>
        <v>0</v>
      </c>
      <c r="L23" s="330">
        <f>1329.45</f>
        <v>1329.45</v>
      </c>
      <c r="M23" s="330">
        <f>15181.1</f>
        <v>15181.1</v>
      </c>
      <c r="N23" s="330">
        <f>0</f>
        <v>0</v>
      </c>
      <c r="O23" s="330">
        <f>0</f>
        <v>0</v>
      </c>
      <c r="P23" s="330">
        <f>0</f>
        <v>0</v>
      </c>
      <c r="Q23" s="330">
        <f>0</f>
        <v>0</v>
      </c>
    </row>
    <row r="24" spans="1:17" ht="75" customHeight="1">
      <c r="A24" s="637" t="str">
        <f>CONCATENATE("Informacja z wykonania budżetów związków jednostek samorządu terytorialnego za  ",$C$51," ",$B$52," roku")</f>
        <v>Informacja z wykonania budżetów związków jednostek samorządu terytorialnego za  2 kwartały 2008 roku</v>
      </c>
      <c r="B24" s="637"/>
      <c r="C24" s="637"/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327"/>
      <c r="O24" s="327"/>
      <c r="P24" s="327"/>
      <c r="Q24" s="327"/>
    </row>
    <row r="25" spans="1:17" ht="13.5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327"/>
      <c r="O25" s="327"/>
      <c r="P25" s="327"/>
      <c r="Q25" s="327"/>
    </row>
    <row r="26" spans="1:17" ht="13.5" customHeight="1">
      <c r="A26" s="327"/>
      <c r="B26" s="639" t="s">
        <v>662</v>
      </c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327"/>
      <c r="O26" s="327"/>
      <c r="P26" s="327"/>
      <c r="Q26" s="327"/>
    </row>
    <row r="27" spans="1:17" ht="13.5" customHeight="1">
      <c r="A27" s="327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</row>
    <row r="28" spans="1:17" ht="13.5" customHeight="1">
      <c r="A28" s="327"/>
      <c r="B28" s="622" t="s">
        <v>460</v>
      </c>
      <c r="C28" s="623"/>
      <c r="D28" s="623"/>
      <c r="E28" s="624"/>
      <c r="F28" s="703" t="s">
        <v>663</v>
      </c>
      <c r="G28" s="627" t="s">
        <v>664</v>
      </c>
      <c r="H28" s="617"/>
      <c r="I28" s="617"/>
      <c r="J28" s="617"/>
      <c r="K28" s="617"/>
      <c r="L28" s="618"/>
      <c r="M28" s="327"/>
      <c r="N28" s="327"/>
      <c r="O28" s="327"/>
      <c r="P28" s="327"/>
      <c r="Q28" s="327"/>
    </row>
    <row r="29" spans="1:17" ht="13.5" customHeight="1">
      <c r="A29" s="327"/>
      <c r="B29" s="625"/>
      <c r="C29" s="615"/>
      <c r="D29" s="615"/>
      <c r="E29" s="616"/>
      <c r="F29" s="704"/>
      <c r="G29" s="706" t="s">
        <v>665</v>
      </c>
      <c r="H29" s="650" t="s">
        <v>610</v>
      </c>
      <c r="I29" s="650" t="s">
        <v>611</v>
      </c>
      <c r="J29" s="650" t="s">
        <v>642</v>
      </c>
      <c r="K29" s="650" t="s">
        <v>666</v>
      </c>
      <c r="L29" s="651" t="s">
        <v>667</v>
      </c>
      <c r="M29" s="327"/>
      <c r="N29" s="327"/>
      <c r="O29" s="327"/>
      <c r="P29" s="327"/>
      <c r="Q29" s="327"/>
    </row>
    <row r="30" spans="1:17" ht="13.5" customHeight="1">
      <c r="A30" s="327"/>
      <c r="B30" s="625"/>
      <c r="C30" s="615"/>
      <c r="D30" s="615"/>
      <c r="E30" s="616"/>
      <c r="F30" s="704"/>
      <c r="G30" s="706"/>
      <c r="H30" s="650"/>
      <c r="I30" s="650"/>
      <c r="J30" s="650"/>
      <c r="K30" s="650"/>
      <c r="L30" s="651"/>
      <c r="M30" s="327"/>
      <c r="N30" s="327"/>
      <c r="O30" s="327"/>
      <c r="P30" s="327"/>
      <c r="Q30" s="327"/>
    </row>
    <row r="31" spans="1:17" ht="11.25" customHeight="1">
      <c r="A31" s="327"/>
      <c r="B31" s="625"/>
      <c r="C31" s="615"/>
      <c r="D31" s="615"/>
      <c r="E31" s="616"/>
      <c r="F31" s="704"/>
      <c r="G31" s="706"/>
      <c r="H31" s="650"/>
      <c r="I31" s="650"/>
      <c r="J31" s="650"/>
      <c r="K31" s="650"/>
      <c r="L31" s="651"/>
      <c r="M31" s="327"/>
      <c r="N31" s="327"/>
      <c r="O31" s="327"/>
      <c r="P31" s="327"/>
      <c r="Q31" s="327"/>
    </row>
    <row r="32" spans="1:17" ht="11.25" customHeight="1">
      <c r="A32" s="327"/>
      <c r="B32" s="700"/>
      <c r="C32" s="701"/>
      <c r="D32" s="701"/>
      <c r="E32" s="702"/>
      <c r="F32" s="705"/>
      <c r="G32" s="706"/>
      <c r="H32" s="650"/>
      <c r="I32" s="650"/>
      <c r="J32" s="650"/>
      <c r="K32" s="650"/>
      <c r="L32" s="651"/>
      <c r="M32" s="327"/>
      <c r="N32" s="327"/>
      <c r="O32" s="327"/>
      <c r="P32" s="327"/>
      <c r="Q32" s="327"/>
    </row>
    <row r="33" spans="1:17" ht="13.5" customHeight="1">
      <c r="A33" s="327"/>
      <c r="B33" s="650">
        <v>1</v>
      </c>
      <c r="C33" s="650"/>
      <c r="D33" s="650"/>
      <c r="E33" s="650"/>
      <c r="F33" s="332">
        <v>2</v>
      </c>
      <c r="G33" s="332">
        <v>3</v>
      </c>
      <c r="H33" s="332">
        <v>4</v>
      </c>
      <c r="I33" s="332">
        <v>5</v>
      </c>
      <c r="J33" s="332">
        <v>6</v>
      </c>
      <c r="K33" s="332">
        <v>7</v>
      </c>
      <c r="L33" s="333">
        <v>8</v>
      </c>
      <c r="M33" s="327"/>
      <c r="N33" s="327"/>
      <c r="O33" s="327"/>
      <c r="P33" s="327"/>
      <c r="Q33" s="327"/>
    </row>
    <row r="34" spans="1:17" ht="33.75" customHeight="1">
      <c r="A34" s="327"/>
      <c r="B34" s="619" t="s">
        <v>668</v>
      </c>
      <c r="C34" s="620"/>
      <c r="D34" s="620"/>
      <c r="E34" s="621"/>
      <c r="F34" s="330">
        <f>3335122.04</f>
        <v>3335122.04</v>
      </c>
      <c r="G34" s="330">
        <f>3335122.04</f>
        <v>3335122.04</v>
      </c>
      <c r="H34" s="330">
        <f>0</f>
        <v>0</v>
      </c>
      <c r="I34" s="330">
        <f>0</f>
        <v>0</v>
      </c>
      <c r="J34" s="330">
        <f>3335122.04</f>
        <v>3335122.04</v>
      </c>
      <c r="K34" s="330">
        <f>0</f>
        <v>0</v>
      </c>
      <c r="L34" s="330">
        <f>0</f>
        <v>0</v>
      </c>
      <c r="M34" s="327"/>
      <c r="N34" s="327"/>
      <c r="O34" s="327"/>
      <c r="P34" s="327"/>
      <c r="Q34" s="327"/>
    </row>
    <row r="35" spans="1:17" ht="33.75" customHeight="1">
      <c r="A35" s="327"/>
      <c r="B35" s="619" t="s">
        <v>669</v>
      </c>
      <c r="C35" s="620"/>
      <c r="D35" s="620"/>
      <c r="E35" s="621"/>
      <c r="F35" s="330">
        <f>0</f>
        <v>0</v>
      </c>
      <c r="G35" s="330">
        <f>0</f>
        <v>0</v>
      </c>
      <c r="H35" s="330">
        <f>0</f>
        <v>0</v>
      </c>
      <c r="I35" s="330">
        <f>0</f>
        <v>0</v>
      </c>
      <c r="J35" s="330">
        <f>0</f>
        <v>0</v>
      </c>
      <c r="K35" s="330">
        <f>0</f>
        <v>0</v>
      </c>
      <c r="L35" s="330">
        <f>0</f>
        <v>0</v>
      </c>
      <c r="M35" s="327"/>
      <c r="N35" s="327"/>
      <c r="O35" s="327"/>
      <c r="P35" s="327"/>
      <c r="Q35" s="327"/>
    </row>
    <row r="36" spans="1:17" ht="33.75" customHeight="1">
      <c r="A36" s="327"/>
      <c r="B36" s="619" t="s">
        <v>670</v>
      </c>
      <c r="C36" s="620"/>
      <c r="D36" s="620"/>
      <c r="E36" s="621"/>
      <c r="F36" s="330">
        <f>0</f>
        <v>0</v>
      </c>
      <c r="G36" s="330">
        <f>0</f>
        <v>0</v>
      </c>
      <c r="H36" s="330">
        <f>0</f>
        <v>0</v>
      </c>
      <c r="I36" s="330">
        <f>0</f>
        <v>0</v>
      </c>
      <c r="J36" s="330">
        <f>0</f>
        <v>0</v>
      </c>
      <c r="K36" s="330">
        <f>0</f>
        <v>0</v>
      </c>
      <c r="L36" s="330">
        <f>0</f>
        <v>0</v>
      </c>
      <c r="M36" s="327"/>
      <c r="N36" s="327"/>
      <c r="O36" s="327"/>
      <c r="P36" s="327"/>
      <c r="Q36" s="327"/>
    </row>
    <row r="37" spans="1:17" ht="22.5" customHeight="1">
      <c r="A37" s="327"/>
      <c r="B37" s="619" t="s">
        <v>671</v>
      </c>
      <c r="C37" s="620"/>
      <c r="D37" s="620"/>
      <c r="E37" s="621"/>
      <c r="F37" s="330">
        <f>0</f>
        <v>0</v>
      </c>
      <c r="G37" s="330">
        <f>0</f>
        <v>0</v>
      </c>
      <c r="H37" s="330">
        <f>0</f>
        <v>0</v>
      </c>
      <c r="I37" s="330">
        <f>0</f>
        <v>0</v>
      </c>
      <c r="J37" s="330">
        <f>0</f>
        <v>0</v>
      </c>
      <c r="K37" s="330">
        <f>0</f>
        <v>0</v>
      </c>
      <c r="L37" s="330">
        <f>0</f>
        <v>0</v>
      </c>
      <c r="M37" s="327"/>
      <c r="N37" s="327"/>
      <c r="O37" s="327"/>
      <c r="P37" s="327"/>
      <c r="Q37" s="327"/>
    </row>
    <row r="38" spans="1:17" ht="33.75" customHeight="1">
      <c r="A38" s="327"/>
      <c r="B38" s="619" t="s">
        <v>672</v>
      </c>
      <c r="C38" s="620"/>
      <c r="D38" s="620"/>
      <c r="E38" s="621"/>
      <c r="F38" s="330">
        <f>0</f>
        <v>0</v>
      </c>
      <c r="G38" s="330">
        <f>0</f>
        <v>0</v>
      </c>
      <c r="H38" s="330">
        <f>0</f>
        <v>0</v>
      </c>
      <c r="I38" s="330">
        <f>0</f>
        <v>0</v>
      </c>
      <c r="J38" s="330">
        <f>0</f>
        <v>0</v>
      </c>
      <c r="K38" s="330">
        <f>0</f>
        <v>0</v>
      </c>
      <c r="L38" s="330">
        <f>0</f>
        <v>0</v>
      </c>
      <c r="M38" s="327"/>
      <c r="N38" s="327"/>
      <c r="O38" s="327"/>
      <c r="P38" s="327"/>
      <c r="Q38" s="327"/>
    </row>
    <row r="39" spans="1:17" ht="33.75" customHeight="1">
      <c r="A39" s="327"/>
      <c r="B39" s="619" t="s">
        <v>673</v>
      </c>
      <c r="C39" s="620"/>
      <c r="D39" s="620"/>
      <c r="E39" s="621"/>
      <c r="F39" s="330">
        <f>0</f>
        <v>0</v>
      </c>
      <c r="G39" s="330">
        <f>0</f>
        <v>0</v>
      </c>
      <c r="H39" s="330">
        <f>0</f>
        <v>0</v>
      </c>
      <c r="I39" s="330">
        <f>0</f>
        <v>0</v>
      </c>
      <c r="J39" s="330">
        <f>0</f>
        <v>0</v>
      </c>
      <c r="K39" s="330">
        <f>0</f>
        <v>0</v>
      </c>
      <c r="L39" s="330">
        <f>0</f>
        <v>0</v>
      </c>
      <c r="M39" s="327"/>
      <c r="N39" s="327"/>
      <c r="O39" s="327"/>
      <c r="P39" s="327"/>
      <c r="Q39" s="327"/>
    </row>
    <row r="40" spans="1:17" ht="22.5" customHeight="1">
      <c r="A40" s="327"/>
      <c r="B40" s="619" t="s">
        <v>674</v>
      </c>
      <c r="C40" s="620"/>
      <c r="D40" s="620"/>
      <c r="E40" s="621"/>
      <c r="F40" s="330">
        <f>0</f>
        <v>0</v>
      </c>
      <c r="G40" s="330">
        <f>0</f>
        <v>0</v>
      </c>
      <c r="H40" s="330">
        <f>0</f>
        <v>0</v>
      </c>
      <c r="I40" s="330">
        <f>0</f>
        <v>0</v>
      </c>
      <c r="J40" s="330">
        <f>0</f>
        <v>0</v>
      </c>
      <c r="K40" s="330">
        <f>0</f>
        <v>0</v>
      </c>
      <c r="L40" s="330">
        <f>0</f>
        <v>0</v>
      </c>
      <c r="M40" s="327"/>
      <c r="N40" s="327"/>
      <c r="O40" s="327"/>
      <c r="P40" s="327"/>
      <c r="Q40" s="327"/>
    </row>
    <row r="41" spans="1:17" ht="13.5" customHeight="1">
      <c r="A41" s="327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</row>
    <row r="42" spans="1:17" ht="13.5" customHeight="1">
      <c r="A42" s="327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</row>
    <row r="43" spans="1:17" ht="75" customHeight="1">
      <c r="A43" s="637" t="str">
        <f>CONCATENATE("Informacja z wykonania budżetów związków jednostek samorządu terytorialnego za   ",$C$51," ",$B$52," roku")</f>
        <v>Informacja z wykonania budżetów związków jednostek samorządu terytorialnego za   2 kwartały 2008 roku</v>
      </c>
      <c r="B43" s="637"/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327"/>
      <c r="O43" s="327"/>
      <c r="P43" s="327"/>
      <c r="Q43" s="327"/>
    </row>
    <row r="44" spans="1:17" ht="13.5" customHeight="1">
      <c r="A44" s="327"/>
      <c r="B44" s="323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</row>
    <row r="45" spans="1:17" ht="13.5" customHeight="1">
      <c r="A45" s="327"/>
      <c r="B45" s="324"/>
      <c r="C45" s="627"/>
      <c r="D45" s="617"/>
      <c r="E45" s="617"/>
      <c r="F45" s="618"/>
      <c r="G45" s="627" t="s">
        <v>461</v>
      </c>
      <c r="H45" s="618"/>
      <c r="I45" s="627" t="s">
        <v>675</v>
      </c>
      <c r="J45" s="618"/>
      <c r="K45" s="324"/>
      <c r="L45" s="327"/>
      <c r="M45" s="327"/>
      <c r="N45" s="327"/>
      <c r="O45" s="327"/>
      <c r="P45" s="327"/>
      <c r="Q45" s="327"/>
    </row>
    <row r="46" spans="1:17" ht="13.5" customHeight="1">
      <c r="A46" s="327"/>
      <c r="B46" s="325"/>
      <c r="C46" s="619" t="s">
        <v>676</v>
      </c>
      <c r="D46" s="620"/>
      <c r="E46" s="620"/>
      <c r="F46" s="621"/>
      <c r="G46" s="631">
        <f>116</f>
        <v>116</v>
      </c>
      <c r="H46" s="632"/>
      <c r="I46" s="633">
        <f>123158020.69</f>
        <v>123158020.69</v>
      </c>
      <c r="J46" s="626"/>
      <c r="K46" s="326"/>
      <c r="L46" s="327"/>
      <c r="M46" s="327"/>
      <c r="N46" s="327"/>
      <c r="O46" s="327"/>
      <c r="P46" s="327"/>
      <c r="Q46" s="327"/>
    </row>
    <row r="47" spans="1:17" ht="13.5" customHeight="1">
      <c r="A47" s="327"/>
      <c r="B47" s="325"/>
      <c r="C47" s="619" t="s">
        <v>677</v>
      </c>
      <c r="D47" s="620"/>
      <c r="E47" s="620"/>
      <c r="F47" s="621"/>
      <c r="G47" s="631">
        <f>41</f>
        <v>41</v>
      </c>
      <c r="H47" s="632"/>
      <c r="I47" s="633">
        <f>-26209987.69</f>
        <v>-26209987.69</v>
      </c>
      <c r="J47" s="626"/>
      <c r="K47" s="326"/>
      <c r="L47" s="327"/>
      <c r="M47" s="327"/>
      <c r="N47" s="327"/>
      <c r="O47" s="327"/>
      <c r="P47" s="327"/>
      <c r="Q47" s="327"/>
    </row>
    <row r="48" spans="1:17" ht="13.5" customHeight="1">
      <c r="A48" s="327"/>
      <c r="B48" s="325"/>
      <c r="C48" s="619" t="s">
        <v>678</v>
      </c>
      <c r="D48" s="620"/>
      <c r="E48" s="620"/>
      <c r="F48" s="621"/>
      <c r="G48" s="631">
        <f>2</f>
        <v>2</v>
      </c>
      <c r="H48" s="632"/>
      <c r="I48" s="633">
        <f>0</f>
        <v>0</v>
      </c>
      <c r="J48" s="626"/>
      <c r="K48" s="326"/>
      <c r="L48" s="327"/>
      <c r="M48" s="327"/>
      <c r="N48" s="327"/>
      <c r="O48" s="327"/>
      <c r="P48" s="327"/>
      <c r="Q48" s="327"/>
    </row>
    <row r="49" spans="1:17" ht="13.5" customHeight="1">
      <c r="A49" s="327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</row>
    <row r="50" spans="1:17" ht="13.5" customHeight="1">
      <c r="A50" s="327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</row>
    <row r="51" spans="1:17" ht="13.5" customHeight="1">
      <c r="A51" s="612" t="s">
        <v>586</v>
      </c>
      <c r="B51" s="612">
        <f>2</f>
        <v>2</v>
      </c>
      <c r="C51" s="612" t="s">
        <v>697</v>
      </c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</row>
    <row r="52" spans="1:17" ht="13.5" customHeight="1">
      <c r="A52" s="612" t="s">
        <v>587</v>
      </c>
      <c r="B52" s="612">
        <f>2008</f>
        <v>2008</v>
      </c>
      <c r="C52" s="613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</row>
    <row r="53" spans="1:17" ht="13.5" customHeight="1">
      <c r="A53" s="612" t="s">
        <v>588</v>
      </c>
      <c r="B53" s="614" t="str">
        <f>"Aug 18 2008 12:00AM"</f>
        <v>Aug 18 2008 12:00AM</v>
      </c>
      <c r="C53" s="613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</row>
  </sheetData>
  <mergeCells count="54">
    <mergeCell ref="M7:M11"/>
    <mergeCell ref="N7:N11"/>
    <mergeCell ref="P7:P11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B38:E38"/>
    <mergeCell ref="B35:E35"/>
    <mergeCell ref="B34:E34"/>
    <mergeCell ref="F28:F32"/>
    <mergeCell ref="G29:G32"/>
    <mergeCell ref="G28:L28"/>
    <mergeCell ref="H29:H32"/>
    <mergeCell ref="I29:I32"/>
    <mergeCell ref="J29:J32"/>
    <mergeCell ref="L29:L32"/>
    <mergeCell ref="K29:K32"/>
    <mergeCell ref="G48:H48"/>
    <mergeCell ref="I48:J48"/>
    <mergeCell ref="C45:F45"/>
    <mergeCell ref="C46:F46"/>
    <mergeCell ref="C47:F47"/>
    <mergeCell ref="C48:F48"/>
    <mergeCell ref="G46:H46"/>
    <mergeCell ref="G45:H45"/>
    <mergeCell ref="G47:H47"/>
    <mergeCell ref="I47:J47"/>
    <mergeCell ref="B39:E39"/>
    <mergeCell ref="I46:J46"/>
    <mergeCell ref="B26:M26"/>
    <mergeCell ref="I45:J45"/>
    <mergeCell ref="B33:E33"/>
    <mergeCell ref="B28:E32"/>
    <mergeCell ref="B40:E40"/>
    <mergeCell ref="A43:M43"/>
    <mergeCell ref="B36:E36"/>
    <mergeCell ref="B37:E37"/>
    <mergeCell ref="O6:Q6"/>
    <mergeCell ref="O7:O11"/>
    <mergeCell ref="A24:M24"/>
    <mergeCell ref="H7:H11"/>
    <mergeCell ref="G7:G11"/>
    <mergeCell ref="F7:F11"/>
    <mergeCell ref="I7:I11"/>
    <mergeCell ref="J7:J11"/>
    <mergeCell ref="Q7:Q11"/>
    <mergeCell ref="L7:L11"/>
  </mergeCells>
  <printOptions/>
  <pageMargins left="0.1968503937007874" right="0.1968503937007874" top="0.1968503937007874" bottom="0.1968503937007874" header="0" footer="0"/>
  <pageSetup horizontalDpi="300" verticalDpi="300" orientation="landscape" paperSize="9" scale="69" r:id="rId1"/>
  <headerFooter alignWithMargins="0">
    <oddFooter>&amp;Rstr. &amp;P z &amp;N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GridLines="0" workbookViewId="0" topLeftCell="A1">
      <selection activeCell="A1" sqref="A1:K25"/>
    </sheetView>
  </sheetViews>
  <sheetFormatPr defaultColWidth="9.140625" defaultRowHeight="12.75"/>
  <cols>
    <col min="1" max="1" width="4.140625" style="64" bestFit="1" customWidth="1"/>
    <col min="2" max="2" width="19.28125" style="64" customWidth="1"/>
    <col min="3" max="3" width="19.00390625" style="64" bestFit="1" customWidth="1"/>
    <col min="4" max="4" width="15.140625" style="64" customWidth="1"/>
    <col min="5" max="5" width="15.7109375" style="64" customWidth="1"/>
    <col min="6" max="6" width="17.28125" style="64" customWidth="1"/>
    <col min="7" max="7" width="15.140625" style="64" customWidth="1"/>
    <col min="8" max="8" width="5.8515625" style="64" customWidth="1"/>
    <col min="9" max="9" width="5.421875" style="64" customWidth="1"/>
    <col min="10" max="10" width="5.28125" style="64" customWidth="1"/>
    <col min="11" max="11" width="5.8515625" style="64" customWidth="1"/>
    <col min="12" max="16384" width="9.140625" style="64" customWidth="1"/>
  </cols>
  <sheetData>
    <row r="1" spans="1:11" ht="15.75">
      <c r="A1" s="688" t="s">
        <v>694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</row>
    <row r="2" ht="13.5" thickBot="1">
      <c r="D2" s="65"/>
    </row>
    <row r="3" spans="1:11" ht="13.5" thickBot="1">
      <c r="A3" s="689" t="s">
        <v>465</v>
      </c>
      <c r="B3" s="692" t="s">
        <v>466</v>
      </c>
      <c r="C3" s="689" t="s">
        <v>4</v>
      </c>
      <c r="D3" s="66" t="s">
        <v>467</v>
      </c>
      <c r="E3" s="67"/>
      <c r="F3" s="67"/>
      <c r="G3" s="68"/>
      <c r="H3" s="695" t="s">
        <v>468</v>
      </c>
      <c r="I3" s="697" t="s">
        <v>469</v>
      </c>
      <c r="J3" s="697" t="s">
        <v>470</v>
      </c>
      <c r="K3" s="699" t="s">
        <v>471</v>
      </c>
    </row>
    <row r="4" spans="1:11" ht="27" customHeight="1" thickBot="1">
      <c r="A4" s="690"/>
      <c r="B4" s="693"/>
      <c r="C4" s="693" t="s">
        <v>472</v>
      </c>
      <c r="D4" s="682" t="s">
        <v>473</v>
      </c>
      <c r="E4" s="660" t="s">
        <v>474</v>
      </c>
      <c r="F4" s="682" t="s">
        <v>475</v>
      </c>
      <c r="G4" s="682" t="s">
        <v>476</v>
      </c>
      <c r="H4" s="696"/>
      <c r="I4" s="698" t="s">
        <v>469</v>
      </c>
      <c r="J4" s="698" t="s">
        <v>470</v>
      </c>
      <c r="K4" s="659" t="s">
        <v>471</v>
      </c>
    </row>
    <row r="5" spans="1:11" ht="13.5" thickBot="1">
      <c r="A5" s="691"/>
      <c r="B5" s="694"/>
      <c r="C5" s="694"/>
      <c r="D5" s="683"/>
      <c r="E5" s="660" t="s">
        <v>474</v>
      </c>
      <c r="F5" s="683" t="s">
        <v>475</v>
      </c>
      <c r="G5" s="683" t="s">
        <v>476</v>
      </c>
      <c r="H5" s="684" t="s">
        <v>477</v>
      </c>
      <c r="I5" s="684"/>
      <c r="J5" s="684"/>
      <c r="K5" s="685"/>
    </row>
    <row r="6" spans="1:11" ht="9.75" customHeight="1" thickBot="1">
      <c r="A6" s="69">
        <v>1</v>
      </c>
      <c r="B6" s="70">
        <v>2</v>
      </c>
      <c r="C6" s="231">
        <v>3</v>
      </c>
      <c r="D6" s="231">
        <v>4</v>
      </c>
      <c r="E6" s="237">
        <v>5</v>
      </c>
      <c r="F6" s="233">
        <v>6</v>
      </c>
      <c r="G6" s="233">
        <v>7</v>
      </c>
      <c r="H6" s="72">
        <v>8</v>
      </c>
      <c r="I6" s="71">
        <v>9</v>
      </c>
      <c r="J6" s="71">
        <v>10</v>
      </c>
      <c r="K6" s="70">
        <v>11</v>
      </c>
    </row>
    <row r="7" spans="1:11" ht="17.25" customHeight="1" thickBot="1">
      <c r="A7" s="686" t="s">
        <v>478</v>
      </c>
      <c r="B7" s="687"/>
      <c r="C7" s="232">
        <f aca="true" t="shared" si="0" ref="C7:C23">SUM(D7:G7)</f>
        <v>23623134106.089996</v>
      </c>
      <c r="D7" s="235">
        <f>SUM(D8:D23)</f>
        <v>9189415175.060001</v>
      </c>
      <c r="E7" s="238">
        <f>SUM(E8:E23)</f>
        <v>2433563765.8900003</v>
      </c>
      <c r="F7" s="236">
        <f>SUM(F8:F23)</f>
        <v>10292756383.22</v>
      </c>
      <c r="G7" s="234">
        <f>SUM(G8:G23)</f>
        <v>1707398781.92</v>
      </c>
      <c r="H7" s="188">
        <f aca="true" t="shared" si="1" ref="H7:H23">D7/C7*100</f>
        <v>38.900067763197384</v>
      </c>
      <c r="I7" s="189">
        <f aca="true" t="shared" si="2" ref="I7:I23">E7/C7*100</f>
        <v>10.301612626677814</v>
      </c>
      <c r="J7" s="190">
        <f aca="true" t="shared" si="3" ref="J7:J23">F7/C7*100</f>
        <v>43.57066398131545</v>
      </c>
      <c r="K7" s="191">
        <f aca="true" t="shared" si="4" ref="K7:K23">G7/C7*100</f>
        <v>7.227655628809372</v>
      </c>
    </row>
    <row r="8" spans="1:11" ht="12.75">
      <c r="A8" s="73" t="s">
        <v>13</v>
      </c>
      <c r="B8" s="74" t="s">
        <v>14</v>
      </c>
      <c r="C8" s="200">
        <f t="shared" si="0"/>
        <v>1979028863.8300004</v>
      </c>
      <c r="D8" s="100">
        <v>1014646520.9400005</v>
      </c>
      <c r="E8" s="131">
        <v>330597091.87</v>
      </c>
      <c r="F8" s="228">
        <v>497732650.13</v>
      </c>
      <c r="G8" s="192">
        <v>136052600.89</v>
      </c>
      <c r="H8" s="195">
        <f t="shared" si="1"/>
        <v>51.26992028688062</v>
      </c>
      <c r="I8" s="75">
        <f t="shared" si="2"/>
        <v>16.705016177995393</v>
      </c>
      <c r="J8" s="76">
        <f t="shared" si="3"/>
        <v>25.15034819485864</v>
      </c>
      <c r="K8" s="80">
        <f t="shared" si="4"/>
        <v>6.874715340265344</v>
      </c>
    </row>
    <row r="9" spans="1:11" ht="12.75">
      <c r="A9" s="77" t="s">
        <v>15</v>
      </c>
      <c r="B9" s="17" t="s">
        <v>16</v>
      </c>
      <c r="C9" s="198">
        <f t="shared" si="0"/>
        <v>1681812262.54</v>
      </c>
      <c r="D9" s="101">
        <v>434884803.8199999</v>
      </c>
      <c r="E9" s="132">
        <v>77619143.66</v>
      </c>
      <c r="F9" s="229">
        <v>926076225</v>
      </c>
      <c r="G9" s="193">
        <v>243232090.06</v>
      </c>
      <c r="H9" s="196">
        <f t="shared" si="1"/>
        <v>25.858106371706675</v>
      </c>
      <c r="I9" s="78">
        <f t="shared" si="2"/>
        <v>4.615208569283096</v>
      </c>
      <c r="J9" s="79">
        <f t="shared" si="3"/>
        <v>55.06418555905698</v>
      </c>
      <c r="K9" s="80">
        <f t="shared" si="4"/>
        <v>14.462499499953255</v>
      </c>
    </row>
    <row r="10" spans="1:11" ht="12.75">
      <c r="A10" s="77" t="s">
        <v>17</v>
      </c>
      <c r="B10" s="17" t="s">
        <v>18</v>
      </c>
      <c r="C10" s="198">
        <f t="shared" si="0"/>
        <v>971983428.2</v>
      </c>
      <c r="D10" s="101">
        <v>347595605.07000005</v>
      </c>
      <c r="E10" s="132">
        <v>140053544.23000002</v>
      </c>
      <c r="F10" s="229">
        <v>364636017.87</v>
      </c>
      <c r="G10" s="193">
        <v>119698261.03</v>
      </c>
      <c r="H10" s="196">
        <f t="shared" si="1"/>
        <v>35.7614744228414</v>
      </c>
      <c r="I10" s="78">
        <f t="shared" si="2"/>
        <v>14.409046509091503</v>
      </c>
      <c r="J10" s="79">
        <f t="shared" si="3"/>
        <v>37.514633201644536</v>
      </c>
      <c r="K10" s="80">
        <f t="shared" si="4"/>
        <v>12.31484586642256</v>
      </c>
    </row>
    <row r="11" spans="1:11" ht="12.75">
      <c r="A11" s="77" t="s">
        <v>19</v>
      </c>
      <c r="B11" s="17" t="s">
        <v>20</v>
      </c>
      <c r="C11" s="198">
        <f t="shared" si="0"/>
        <v>683288324.0899999</v>
      </c>
      <c r="D11" s="101">
        <v>284384362.65</v>
      </c>
      <c r="E11" s="132">
        <v>120105619.78</v>
      </c>
      <c r="F11" s="229">
        <v>127689336.47</v>
      </c>
      <c r="G11" s="193">
        <v>151109005.19</v>
      </c>
      <c r="H11" s="196">
        <f t="shared" si="1"/>
        <v>41.619965192401274</v>
      </c>
      <c r="I11" s="78">
        <f t="shared" si="2"/>
        <v>17.577589949302308</v>
      </c>
      <c r="J11" s="79">
        <f t="shared" si="3"/>
        <v>18.687475252859915</v>
      </c>
      <c r="K11" s="80">
        <f t="shared" si="4"/>
        <v>22.11496960543651</v>
      </c>
    </row>
    <row r="12" spans="1:11" ht="12.75">
      <c r="A12" s="77" t="s">
        <v>21</v>
      </c>
      <c r="B12" s="17" t="s">
        <v>22</v>
      </c>
      <c r="C12" s="198">
        <f t="shared" si="0"/>
        <v>1494059533.3000004</v>
      </c>
      <c r="D12" s="101">
        <v>604589341.2700003</v>
      </c>
      <c r="E12" s="132">
        <v>128586682.33999999</v>
      </c>
      <c r="F12" s="229">
        <v>743156635.1600001</v>
      </c>
      <c r="G12" s="193">
        <v>17726874.53</v>
      </c>
      <c r="H12" s="196">
        <f t="shared" si="1"/>
        <v>40.46621488600358</v>
      </c>
      <c r="I12" s="78">
        <f t="shared" si="2"/>
        <v>8.606530026014724</v>
      </c>
      <c r="J12" s="79">
        <f t="shared" si="3"/>
        <v>49.740764581084306</v>
      </c>
      <c r="K12" s="80">
        <f t="shared" si="4"/>
        <v>1.186490506897393</v>
      </c>
    </row>
    <row r="13" spans="1:11" ht="12.75">
      <c r="A13" s="77" t="s">
        <v>23</v>
      </c>
      <c r="B13" s="17" t="s">
        <v>24</v>
      </c>
      <c r="C13" s="198">
        <f t="shared" si="0"/>
        <v>2752126927.4799995</v>
      </c>
      <c r="D13" s="101">
        <v>901873600.5500001</v>
      </c>
      <c r="E13" s="132">
        <v>208921327.48999998</v>
      </c>
      <c r="F13" s="229">
        <v>1522712958.61</v>
      </c>
      <c r="G13" s="193">
        <v>118619040.83</v>
      </c>
      <c r="H13" s="196">
        <f t="shared" si="1"/>
        <v>32.77005836993884</v>
      </c>
      <c r="I13" s="78">
        <f t="shared" si="2"/>
        <v>7.591267880994862</v>
      </c>
      <c r="J13" s="79">
        <f t="shared" si="3"/>
        <v>55.32858762456427</v>
      </c>
      <c r="K13" s="80">
        <f t="shared" si="4"/>
        <v>4.310086124502048</v>
      </c>
    </row>
    <row r="14" spans="1:11" ht="12.75">
      <c r="A14" s="77" t="s">
        <v>25</v>
      </c>
      <c r="B14" s="17" t="s">
        <v>26</v>
      </c>
      <c r="C14" s="198">
        <f t="shared" si="0"/>
        <v>3943792004.77</v>
      </c>
      <c r="D14" s="101">
        <v>1119865114.45</v>
      </c>
      <c r="E14" s="132">
        <v>228424053.54000005</v>
      </c>
      <c r="F14" s="229">
        <v>2238230003.63</v>
      </c>
      <c r="G14" s="193">
        <v>357272833.15</v>
      </c>
      <c r="H14" s="196">
        <f t="shared" si="1"/>
        <v>28.39564340856536</v>
      </c>
      <c r="I14" s="78">
        <f t="shared" si="2"/>
        <v>5.791990380418696</v>
      </c>
      <c r="J14" s="79">
        <f t="shared" si="3"/>
        <v>56.75324664492626</v>
      </c>
      <c r="K14" s="80">
        <f t="shared" si="4"/>
        <v>9.059119566089691</v>
      </c>
    </row>
    <row r="15" spans="1:11" ht="12.75">
      <c r="A15" s="77" t="s">
        <v>27</v>
      </c>
      <c r="B15" s="17" t="s">
        <v>28</v>
      </c>
      <c r="C15" s="198">
        <f t="shared" si="0"/>
        <v>513021478.4000001</v>
      </c>
      <c r="D15" s="101">
        <v>226733086.26000008</v>
      </c>
      <c r="E15" s="132">
        <v>69522976.87</v>
      </c>
      <c r="F15" s="229">
        <v>106540546.81</v>
      </c>
      <c r="G15" s="193">
        <v>110224868.46</v>
      </c>
      <c r="H15" s="196">
        <f t="shared" si="1"/>
        <v>44.195632309027324</v>
      </c>
      <c r="I15" s="78">
        <f t="shared" si="2"/>
        <v>13.551669822251245</v>
      </c>
      <c r="J15" s="79">
        <f t="shared" si="3"/>
        <v>20.76726829104237</v>
      </c>
      <c r="K15" s="80">
        <f t="shared" si="4"/>
        <v>21.485429577679056</v>
      </c>
    </row>
    <row r="16" spans="1:11" ht="12.75">
      <c r="A16" s="77" t="s">
        <v>29</v>
      </c>
      <c r="B16" s="17" t="s">
        <v>30</v>
      </c>
      <c r="C16" s="198">
        <f t="shared" si="0"/>
        <v>1102531002.86</v>
      </c>
      <c r="D16" s="101">
        <v>542873055.8099997</v>
      </c>
      <c r="E16" s="132">
        <v>174065431.58</v>
      </c>
      <c r="F16" s="229">
        <v>320056671.08</v>
      </c>
      <c r="G16" s="193">
        <v>65535844.39</v>
      </c>
      <c r="H16" s="196">
        <f t="shared" si="1"/>
        <v>49.238801847909045</v>
      </c>
      <c r="I16" s="78">
        <f t="shared" si="2"/>
        <v>15.787803801296185</v>
      </c>
      <c r="J16" s="79">
        <f t="shared" si="3"/>
        <v>29.02926722693176</v>
      </c>
      <c r="K16" s="80">
        <f t="shared" si="4"/>
        <v>5.944127123863</v>
      </c>
    </row>
    <row r="17" spans="1:11" ht="12.75">
      <c r="A17" s="77" t="s">
        <v>31</v>
      </c>
      <c r="B17" s="17" t="s">
        <v>32</v>
      </c>
      <c r="C17" s="198">
        <f t="shared" si="0"/>
        <v>518955887.2099999</v>
      </c>
      <c r="D17" s="101">
        <v>172683850.11999995</v>
      </c>
      <c r="E17" s="132">
        <v>42780717.17</v>
      </c>
      <c r="F17" s="229">
        <v>245931112.07999998</v>
      </c>
      <c r="G17" s="193">
        <v>57560207.84</v>
      </c>
      <c r="H17" s="196">
        <f t="shared" si="1"/>
        <v>33.27524638912555</v>
      </c>
      <c r="I17" s="78">
        <f t="shared" si="2"/>
        <v>8.243613421556276</v>
      </c>
      <c r="J17" s="79">
        <f t="shared" si="3"/>
        <v>47.38959864241445</v>
      </c>
      <c r="K17" s="80">
        <f t="shared" si="4"/>
        <v>11.09154154690373</v>
      </c>
    </row>
    <row r="18" spans="1:11" ht="12.75">
      <c r="A18" s="77" t="s">
        <v>33</v>
      </c>
      <c r="B18" s="17" t="s">
        <v>34</v>
      </c>
      <c r="C18" s="198">
        <f t="shared" si="0"/>
        <v>1261750082.6699998</v>
      </c>
      <c r="D18" s="101">
        <v>570519945.5699999</v>
      </c>
      <c r="E18" s="132">
        <v>144293992.12999997</v>
      </c>
      <c r="F18" s="229">
        <v>490986775.46999997</v>
      </c>
      <c r="G18" s="193">
        <v>55949369.5</v>
      </c>
      <c r="H18" s="196">
        <f t="shared" si="1"/>
        <v>45.216557019177515</v>
      </c>
      <c r="I18" s="78">
        <f t="shared" si="2"/>
        <v>11.436020025824627</v>
      </c>
      <c r="J18" s="79">
        <f t="shared" si="3"/>
        <v>38.913155799524006</v>
      </c>
      <c r="K18" s="80">
        <f t="shared" si="4"/>
        <v>4.434267155473854</v>
      </c>
    </row>
    <row r="19" spans="1:11" ht="12.75">
      <c r="A19" s="77" t="s">
        <v>35</v>
      </c>
      <c r="B19" s="17" t="s">
        <v>36</v>
      </c>
      <c r="C19" s="198">
        <f t="shared" si="0"/>
        <v>2266302444.47</v>
      </c>
      <c r="D19" s="101">
        <v>782041007.4699999</v>
      </c>
      <c r="E19" s="132">
        <v>129710670.13000003</v>
      </c>
      <c r="F19" s="229">
        <v>1354315122.58</v>
      </c>
      <c r="G19" s="193">
        <v>235644.29</v>
      </c>
      <c r="H19" s="196">
        <f t="shared" si="1"/>
        <v>34.50735401085838</v>
      </c>
      <c r="I19" s="78">
        <f t="shared" si="2"/>
        <v>5.7234492442306975</v>
      </c>
      <c r="J19" s="79">
        <f t="shared" si="3"/>
        <v>59.75879900251891</v>
      </c>
      <c r="K19" s="80">
        <f t="shared" si="4"/>
        <v>0.010397742392018117</v>
      </c>
    </row>
    <row r="20" spans="1:11" ht="12.75">
      <c r="A20" s="77" t="s">
        <v>37</v>
      </c>
      <c r="B20" s="17" t="s">
        <v>38</v>
      </c>
      <c r="C20" s="198">
        <f t="shared" si="0"/>
        <v>504260563.7600001</v>
      </c>
      <c r="D20" s="101">
        <v>292492057.55000013</v>
      </c>
      <c r="E20" s="132">
        <v>109107828.79</v>
      </c>
      <c r="F20" s="229">
        <v>81051077.52</v>
      </c>
      <c r="G20" s="193">
        <v>21609599.9</v>
      </c>
      <c r="H20" s="196">
        <f t="shared" si="1"/>
        <v>58.004150744814154</v>
      </c>
      <c r="I20" s="78">
        <f t="shared" si="2"/>
        <v>21.637192481688743</v>
      </c>
      <c r="J20" s="79">
        <f t="shared" si="3"/>
        <v>16.07325326328231</v>
      </c>
      <c r="K20" s="80">
        <f t="shared" si="4"/>
        <v>4.2854035102148025</v>
      </c>
    </row>
    <row r="21" spans="1:11" ht="12.75">
      <c r="A21" s="77" t="s">
        <v>39</v>
      </c>
      <c r="B21" s="17" t="s">
        <v>40</v>
      </c>
      <c r="C21" s="198">
        <f t="shared" si="0"/>
        <v>921032879.72</v>
      </c>
      <c r="D21" s="101">
        <v>427069149.4400001</v>
      </c>
      <c r="E21" s="132">
        <v>201422761.10999998</v>
      </c>
      <c r="F21" s="229">
        <v>155044513.39</v>
      </c>
      <c r="G21" s="193">
        <v>137496455.78</v>
      </c>
      <c r="H21" s="196">
        <f t="shared" si="1"/>
        <v>46.36850202023536</v>
      </c>
      <c r="I21" s="78">
        <f t="shared" si="2"/>
        <v>21.8692259033395</v>
      </c>
      <c r="J21" s="79">
        <f t="shared" si="3"/>
        <v>16.833765308914327</v>
      </c>
      <c r="K21" s="80">
        <f t="shared" si="4"/>
        <v>14.928506767510822</v>
      </c>
    </row>
    <row r="22" spans="1:11" ht="12.75">
      <c r="A22" s="77" t="s">
        <v>41</v>
      </c>
      <c r="B22" s="17" t="s">
        <v>42</v>
      </c>
      <c r="C22" s="198">
        <f t="shared" si="0"/>
        <v>2011539473.92</v>
      </c>
      <c r="D22" s="101">
        <v>913908138.6600001</v>
      </c>
      <c r="E22" s="132">
        <v>203331186.65</v>
      </c>
      <c r="F22" s="229">
        <v>817942413.8000001</v>
      </c>
      <c r="G22" s="193">
        <v>76357734.81</v>
      </c>
      <c r="H22" s="196">
        <f t="shared" si="1"/>
        <v>45.433268922086626</v>
      </c>
      <c r="I22" s="78">
        <f t="shared" si="2"/>
        <v>10.108237461219545</v>
      </c>
      <c r="J22" s="79">
        <f t="shared" si="3"/>
        <v>40.66250871060609</v>
      </c>
      <c r="K22" s="80">
        <f t="shared" si="4"/>
        <v>3.7959849060877433</v>
      </c>
    </row>
    <row r="23" spans="1:11" ht="13.5" thickBot="1">
      <c r="A23" s="81" t="s">
        <v>43</v>
      </c>
      <c r="B23" s="82" t="s">
        <v>44</v>
      </c>
      <c r="C23" s="199">
        <f t="shared" si="0"/>
        <v>1017648948.8700001</v>
      </c>
      <c r="D23" s="102">
        <v>553255535.4300002</v>
      </c>
      <c r="E23" s="133">
        <v>125020738.55</v>
      </c>
      <c r="F23" s="230">
        <v>300654323.62</v>
      </c>
      <c r="G23" s="194">
        <v>38718351.27</v>
      </c>
      <c r="H23" s="197">
        <f t="shared" si="1"/>
        <v>54.36604990791142</v>
      </c>
      <c r="I23" s="83">
        <f t="shared" si="2"/>
        <v>12.285252069372579</v>
      </c>
      <c r="J23" s="84">
        <f t="shared" si="3"/>
        <v>29.54401161165128</v>
      </c>
      <c r="K23" s="85">
        <f t="shared" si="4"/>
        <v>3.8046864110647345</v>
      </c>
    </row>
    <row r="24" spans="3:7" ht="12.75">
      <c r="C24" s="86"/>
      <c r="D24" s="86"/>
      <c r="E24" s="86"/>
      <c r="F24" s="86"/>
      <c r="G24" s="86"/>
    </row>
    <row r="25" ht="12.75">
      <c r="A25" s="28" t="s">
        <v>695</v>
      </c>
    </row>
    <row r="60" ht="12.75">
      <c r="A60" s="549" t="s">
        <v>693</v>
      </c>
    </row>
    <row r="61" spans="3:5" ht="12.75">
      <c r="C61" s="64">
        <v>867834</v>
      </c>
      <c r="D61" s="64">
        <v>838310</v>
      </c>
      <c r="E61" s="64">
        <v>1134109</v>
      </c>
    </row>
    <row r="62" spans="3:5" ht="12.75">
      <c r="C62" s="64">
        <v>94655</v>
      </c>
      <c r="D62" s="64">
        <v>100812</v>
      </c>
      <c r="E62" s="64">
        <v>141827</v>
      </c>
    </row>
    <row r="63" spans="3:8" ht="12.75">
      <c r="C63" s="557">
        <f>+C62-F63</f>
        <v>65351</v>
      </c>
      <c r="D63" s="557">
        <f>+D62-G63</f>
        <v>85401</v>
      </c>
      <c r="E63" s="557">
        <f>+E62-H63</f>
        <v>52052</v>
      </c>
      <c r="F63" s="555">
        <v>29304</v>
      </c>
      <c r="G63" s="555">
        <v>15411</v>
      </c>
      <c r="H63" s="555">
        <v>89775</v>
      </c>
    </row>
    <row r="64" spans="3:5" ht="12.75">
      <c r="C64" s="64">
        <v>9048</v>
      </c>
      <c r="D64" s="64">
        <v>14091</v>
      </c>
      <c r="E64" s="64">
        <v>8915</v>
      </c>
    </row>
    <row r="65" spans="3:5" ht="12.75">
      <c r="C65" s="552">
        <v>5503</v>
      </c>
      <c r="D65" s="552">
        <v>4164</v>
      </c>
      <c r="E65" s="552">
        <v>4867</v>
      </c>
    </row>
    <row r="66" spans="3:5" ht="12.75">
      <c r="C66" s="552">
        <v>2942</v>
      </c>
      <c r="D66" s="552">
        <v>3550</v>
      </c>
      <c r="E66" s="552">
        <v>495</v>
      </c>
    </row>
    <row r="71" ht="7.5" customHeight="1"/>
  </sheetData>
  <mergeCells count="14">
    <mergeCell ref="A1:K1"/>
    <mergeCell ref="A3:A5"/>
    <mergeCell ref="B3:B5"/>
    <mergeCell ref="C3:C5"/>
    <mergeCell ref="H3:H4"/>
    <mergeCell ref="I3:I4"/>
    <mergeCell ref="J3:J4"/>
    <mergeCell ref="K3:K4"/>
    <mergeCell ref="D4:D5"/>
    <mergeCell ref="E4:E5"/>
    <mergeCell ref="F4:F5"/>
    <mergeCell ref="G4:G5"/>
    <mergeCell ref="H5:K5"/>
    <mergeCell ref="A7:B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1"/>
  <dimension ref="A1:AA99"/>
  <sheetViews>
    <sheetView workbookViewId="0" topLeftCell="B1">
      <selection activeCell="B22" sqref="B22"/>
    </sheetView>
  </sheetViews>
  <sheetFormatPr defaultColWidth="9.140625" defaultRowHeight="12.75"/>
  <cols>
    <col min="1" max="1" width="5.7109375" style="269" hidden="1" customWidth="1"/>
    <col min="2" max="2" width="22.8515625" style="269" customWidth="1"/>
    <col min="3" max="5" width="14.57421875" style="269" customWidth="1"/>
    <col min="6" max="6" width="13.8515625" style="269" customWidth="1"/>
    <col min="7" max="8" width="13.00390625" style="269" customWidth="1"/>
    <col min="9" max="9" width="12.00390625" style="269" customWidth="1"/>
    <col min="10" max="10" width="13.00390625" style="269" customWidth="1"/>
    <col min="11" max="11" width="7.421875" style="269" customWidth="1"/>
    <col min="12" max="12" width="7.28125" style="269" customWidth="1"/>
    <col min="13" max="13" width="8.140625" style="269" customWidth="1"/>
    <col min="14" max="16384" width="9.140625" style="269" customWidth="1"/>
  </cols>
  <sheetData>
    <row r="1" spans="2:27" ht="75" customHeight="1">
      <c r="B1" s="667" t="str">
        <f>CONCATENATE("Informacja z wykonania budżetów jednostek samorządu terytorialnego za ",$D$97," ",$C$98," roku")</f>
        <v>Informacja z wykonania budżetów jednostek samorządu terytorialnego za 2 kwartały 2008 roku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</row>
    <row r="2" spans="2:27" ht="12.75"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2:27" ht="66.75" customHeight="1">
      <c r="B3" s="672" t="s">
        <v>500</v>
      </c>
      <c r="C3" s="286" t="s">
        <v>589</v>
      </c>
      <c r="D3" s="286" t="s">
        <v>590</v>
      </c>
      <c r="E3" s="286" t="s">
        <v>591</v>
      </c>
      <c r="F3" s="286" t="s">
        <v>592</v>
      </c>
      <c r="G3" s="286" t="s">
        <v>593</v>
      </c>
      <c r="H3" s="286" t="s">
        <v>594</v>
      </c>
      <c r="I3" s="286" t="s">
        <v>595</v>
      </c>
      <c r="J3" s="286" t="s">
        <v>596</v>
      </c>
      <c r="K3" s="287" t="s">
        <v>501</v>
      </c>
      <c r="L3" s="286" t="s">
        <v>502</v>
      </c>
      <c r="M3" s="286" t="s">
        <v>503</v>
      </c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</row>
    <row r="4" spans="2:27" ht="12.75">
      <c r="B4" s="672"/>
      <c r="C4" s="649"/>
      <c r="D4" s="649"/>
      <c r="E4" s="649"/>
      <c r="F4" s="649"/>
      <c r="G4" s="649"/>
      <c r="H4" s="649"/>
      <c r="I4" s="649"/>
      <c r="J4" s="649"/>
      <c r="K4" s="649" t="s">
        <v>12</v>
      </c>
      <c r="L4" s="649"/>
      <c r="M4" s="649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</row>
    <row r="5" spans="2:27" ht="12.75">
      <c r="B5" s="287">
        <v>1</v>
      </c>
      <c r="C5" s="288">
        <v>2</v>
      </c>
      <c r="D5" s="288">
        <v>3</v>
      </c>
      <c r="E5" s="288">
        <v>4</v>
      </c>
      <c r="F5" s="287">
        <v>5</v>
      </c>
      <c r="G5" s="288">
        <v>6</v>
      </c>
      <c r="H5" s="287">
        <v>7</v>
      </c>
      <c r="I5" s="288">
        <v>8</v>
      </c>
      <c r="J5" s="287">
        <v>9</v>
      </c>
      <c r="K5" s="288">
        <v>10</v>
      </c>
      <c r="L5" s="287">
        <v>11</v>
      </c>
      <c r="M5" s="288">
        <v>12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</row>
    <row r="6" spans="2:27" ht="25.5" customHeight="1">
      <c r="B6" s="289" t="s">
        <v>504</v>
      </c>
      <c r="C6" s="290">
        <f>143401808359.7</f>
        <v>143401808359.7</v>
      </c>
      <c r="D6" s="290">
        <f>72962508433.34</f>
        <v>72962508433.34</v>
      </c>
      <c r="E6" s="290">
        <f>71408548290.78</f>
        <v>71408548290.78</v>
      </c>
      <c r="F6" s="290">
        <f>1424680411.61</f>
        <v>1424680411.61</v>
      </c>
      <c r="G6" s="290">
        <f>284527397.65</f>
        <v>284527397.65</v>
      </c>
      <c r="H6" s="290">
        <f>91666837.74</f>
        <v>91666837.74</v>
      </c>
      <c r="I6" s="290">
        <f>155189440.85</f>
        <v>155189440.85</v>
      </c>
      <c r="J6" s="290">
        <f>9094188.83</f>
        <v>9094188.83</v>
      </c>
      <c r="K6" s="270">
        <f aca="true" t="shared" si="0" ref="K6:K39">IF($D$6=0,"",100*$D6/$D$6)</f>
        <v>100</v>
      </c>
      <c r="L6" s="270">
        <f aca="true" t="shared" si="1" ref="L6:L39">IF(C6=0,"",100*D6/C6)</f>
        <v>50.8797687197399</v>
      </c>
      <c r="M6" s="270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</row>
    <row r="7" spans="2:27" ht="25.5" customHeight="1">
      <c r="B7" s="289" t="s">
        <v>505</v>
      </c>
      <c r="C7" s="290">
        <f>C6-C22-C33</f>
        <v>75896800244.34001</v>
      </c>
      <c r="D7" s="290">
        <f>D6-D22-D33</f>
        <v>37193427354.52</v>
      </c>
      <c r="E7" s="290">
        <f>E6-E22-E33</f>
        <v>37030367800.89</v>
      </c>
      <c r="F7" s="290">
        <f>F6</f>
        <v>1424680411.61</v>
      </c>
      <c r="G7" s="290">
        <f>G6</f>
        <v>284527397.65</v>
      </c>
      <c r="H7" s="290">
        <f>H6</f>
        <v>91666837.74</v>
      </c>
      <c r="I7" s="290">
        <f>I6</f>
        <v>155189440.85</v>
      </c>
      <c r="J7" s="290">
        <f>J6</f>
        <v>9094188.83</v>
      </c>
      <c r="K7" s="270">
        <f t="shared" si="0"/>
        <v>50.97608093957002</v>
      </c>
      <c r="L7" s="270">
        <f t="shared" si="1"/>
        <v>49.005264035875726</v>
      </c>
      <c r="M7" s="270">
        <f aca="true" t="shared" si="2" ref="M7:M21">IF($D$7=0,"",100*$D7/$D$7)</f>
        <v>100</v>
      </c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</row>
    <row r="8" spans="2:27" ht="22.5" customHeight="1">
      <c r="B8" s="291" t="s">
        <v>506</v>
      </c>
      <c r="C8" s="271">
        <f>7282944860.27</f>
        <v>7282944860.27</v>
      </c>
      <c r="D8" s="271">
        <f>3919045679.95</f>
        <v>3919045679.95</v>
      </c>
      <c r="E8" s="271">
        <f>4001301348.22</f>
        <v>4001301348.22</v>
      </c>
      <c r="F8" s="271">
        <f>0</f>
        <v>0</v>
      </c>
      <c r="G8" s="271">
        <f>0</f>
        <v>0</v>
      </c>
      <c r="H8" s="271">
        <f>0</f>
        <v>0</v>
      </c>
      <c r="I8" s="271">
        <f>0</f>
        <v>0</v>
      </c>
      <c r="J8" s="271">
        <f>0</f>
        <v>0</v>
      </c>
      <c r="K8" s="272">
        <f t="shared" si="0"/>
        <v>5.371314342256364</v>
      </c>
      <c r="L8" s="272">
        <f t="shared" si="1"/>
        <v>53.811277651286645</v>
      </c>
      <c r="M8" s="272">
        <f t="shared" si="2"/>
        <v>10.536930739387024</v>
      </c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</row>
    <row r="9" spans="2:27" ht="22.5" customHeight="1">
      <c r="B9" s="291" t="s">
        <v>507</v>
      </c>
      <c r="C9" s="271">
        <f>25741196267</f>
        <v>25741196267</v>
      </c>
      <c r="D9" s="271">
        <f>11950221511</f>
        <v>11950221511</v>
      </c>
      <c r="E9" s="271">
        <f>11893620335.39</f>
        <v>11893620335.39</v>
      </c>
      <c r="F9" s="271">
        <f>0</f>
        <v>0</v>
      </c>
      <c r="G9" s="271">
        <f>0</f>
        <v>0</v>
      </c>
      <c r="H9" s="271">
        <f>0</f>
        <v>0</v>
      </c>
      <c r="I9" s="271">
        <f>0</f>
        <v>0</v>
      </c>
      <c r="J9" s="271">
        <f>0</f>
        <v>0</v>
      </c>
      <c r="K9" s="272">
        <f t="shared" si="0"/>
        <v>16.378578214478413</v>
      </c>
      <c r="L9" s="272">
        <f t="shared" si="1"/>
        <v>46.42449941737978</v>
      </c>
      <c r="M9" s="272">
        <f t="shared" si="2"/>
        <v>32.12992821848059</v>
      </c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</row>
    <row r="10" spans="2:27" ht="13.5" customHeight="1">
      <c r="B10" s="291" t="s">
        <v>508</v>
      </c>
      <c r="C10" s="271">
        <f>1209550027.16</f>
        <v>1209550027.16</v>
      </c>
      <c r="D10" s="271">
        <f>667574703.58</f>
        <v>667574703.58</v>
      </c>
      <c r="E10" s="271">
        <f>666583344.19</f>
        <v>666583344.19</v>
      </c>
      <c r="F10" s="271">
        <f>248679647.08</f>
        <v>248679647.08</v>
      </c>
      <c r="G10" s="271">
        <f>2367848.8</f>
        <v>2367848.8</v>
      </c>
      <c r="H10" s="271">
        <f>5906640.09</f>
        <v>5906640.09</v>
      </c>
      <c r="I10" s="271">
        <f>12044289.51</f>
        <v>12044289.51</v>
      </c>
      <c r="J10" s="271">
        <f>53268.22</f>
        <v>53268.22</v>
      </c>
      <c r="K10" s="272">
        <f t="shared" si="0"/>
        <v>0.9149558011563016</v>
      </c>
      <c r="L10" s="272">
        <f t="shared" si="1"/>
        <v>55.19198781281106</v>
      </c>
      <c r="M10" s="272">
        <f t="shared" si="2"/>
        <v>1.7948727801200388</v>
      </c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</row>
    <row r="11" spans="2:27" ht="13.5" customHeight="1">
      <c r="B11" s="291" t="s">
        <v>509</v>
      </c>
      <c r="C11" s="271">
        <f>13216903230.23</f>
        <v>13216903230.23</v>
      </c>
      <c r="D11" s="292">
        <f>6885062496.92</f>
        <v>6885062496.92</v>
      </c>
      <c r="E11" s="271">
        <f>6869685267.77</f>
        <v>6869685267.77</v>
      </c>
      <c r="F11" s="271">
        <f>970994061.57</f>
        <v>970994061.57</v>
      </c>
      <c r="G11" s="271">
        <f>278109000.03</f>
        <v>278109000.03</v>
      </c>
      <c r="H11" s="271">
        <f>65357516.19</f>
        <v>65357516.19</v>
      </c>
      <c r="I11" s="271">
        <f>111475080.64</f>
        <v>111475080.64</v>
      </c>
      <c r="J11" s="271">
        <f>6360822.52</f>
        <v>6360822.52</v>
      </c>
      <c r="K11" s="272">
        <f t="shared" si="0"/>
        <v>9.436438857101974</v>
      </c>
      <c r="L11" s="272">
        <f t="shared" si="1"/>
        <v>52.092856980085394</v>
      </c>
      <c r="M11" s="272">
        <f t="shared" si="2"/>
        <v>18.511503205372872</v>
      </c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</row>
    <row r="12" spans="2:27" ht="13.5" customHeight="1">
      <c r="B12" s="291" t="s">
        <v>510</v>
      </c>
      <c r="C12" s="271">
        <f>168713298.59</f>
        <v>168713298.59</v>
      </c>
      <c r="D12" s="292">
        <f>93945508.92</f>
        <v>93945508.92</v>
      </c>
      <c r="E12" s="271">
        <f>94353129.13</f>
        <v>94353129.13</v>
      </c>
      <c r="F12" s="271">
        <f>1220648.85</f>
        <v>1220648.85</v>
      </c>
      <c r="G12" s="271">
        <f>219353.23</f>
        <v>219353.23</v>
      </c>
      <c r="H12" s="271">
        <f>136012.3</f>
        <v>136012.3</v>
      </c>
      <c r="I12" s="271">
        <f>29853.85</f>
        <v>29853.85</v>
      </c>
      <c r="J12" s="271">
        <f>2508.73</f>
        <v>2508.73</v>
      </c>
      <c r="K12" s="272">
        <f t="shared" si="0"/>
        <v>0.1287586062173705</v>
      </c>
      <c r="L12" s="272">
        <f t="shared" si="1"/>
        <v>55.68352329374014</v>
      </c>
      <c r="M12" s="272">
        <f t="shared" si="2"/>
        <v>0.2525863186108959</v>
      </c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</row>
    <row r="13" spans="2:27" ht="22.5" customHeight="1">
      <c r="B13" s="291" t="s">
        <v>511</v>
      </c>
      <c r="C13" s="271">
        <f>796732552.66</f>
        <v>796732552.66</v>
      </c>
      <c r="D13" s="292">
        <f>427496007.85</f>
        <v>427496007.85</v>
      </c>
      <c r="E13" s="271">
        <f>424639706.3</f>
        <v>424639706.3</v>
      </c>
      <c r="F13" s="271">
        <f>192500539.86</f>
        <v>192500539.86</v>
      </c>
      <c r="G13" s="271">
        <f>2160730.23</f>
        <v>2160730.23</v>
      </c>
      <c r="H13" s="271">
        <f>3357306.95</f>
        <v>3357306.95</v>
      </c>
      <c r="I13" s="271">
        <f>9186886.72</f>
        <v>9186886.72</v>
      </c>
      <c r="J13" s="271">
        <f>46513.18</f>
        <v>46513.18</v>
      </c>
      <c r="K13" s="272">
        <f t="shared" si="0"/>
        <v>0.5859118841021878</v>
      </c>
      <c r="L13" s="272">
        <f t="shared" si="1"/>
        <v>53.65614928406608</v>
      </c>
      <c r="M13" s="272">
        <f t="shared" si="2"/>
        <v>1.1493858949195437</v>
      </c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</row>
    <row r="14" spans="2:27" ht="33" customHeight="1">
      <c r="B14" s="291" t="s">
        <v>512</v>
      </c>
      <c r="C14" s="271">
        <f>103572477</f>
        <v>103572477</v>
      </c>
      <c r="D14" s="292">
        <f>42386580.21</f>
        <v>42386580.21</v>
      </c>
      <c r="E14" s="271">
        <f>42282536.11</f>
        <v>42282536.11</v>
      </c>
      <c r="F14" s="271">
        <f>1416</f>
        <v>1416</v>
      </c>
      <c r="G14" s="271">
        <f>4561</f>
        <v>4561</v>
      </c>
      <c r="H14" s="271">
        <f>226549.2</f>
        <v>226549.2</v>
      </c>
      <c r="I14" s="271">
        <f>569951.03</f>
        <v>569951.03</v>
      </c>
      <c r="J14" s="271">
        <f>0</f>
        <v>0</v>
      </c>
      <c r="K14" s="272">
        <f t="shared" si="0"/>
        <v>0.05809364442112791</v>
      </c>
      <c r="L14" s="272">
        <f t="shared" si="1"/>
        <v>40.9245597264223</v>
      </c>
      <c r="M14" s="272">
        <f t="shared" si="2"/>
        <v>0.1139625552815554</v>
      </c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</row>
    <row r="15" spans="2:27" ht="22.5" customHeight="1">
      <c r="B15" s="291" t="s">
        <v>513</v>
      </c>
      <c r="C15" s="271">
        <f>238802952</f>
        <v>238802952</v>
      </c>
      <c r="D15" s="292">
        <f>157332440.43</f>
        <v>157332440.43</v>
      </c>
      <c r="E15" s="271">
        <f>153856520.19</f>
        <v>153856520.19</v>
      </c>
      <c r="F15" s="271">
        <f>0</f>
        <v>0</v>
      </c>
      <c r="G15" s="271">
        <f>400247</f>
        <v>400247</v>
      </c>
      <c r="H15" s="271">
        <f>4540328.56</f>
        <v>4540328.56</v>
      </c>
      <c r="I15" s="271">
        <f>10435659.73</f>
        <v>10435659.73</v>
      </c>
      <c r="J15" s="271">
        <f>0</f>
        <v>0</v>
      </c>
      <c r="K15" s="272">
        <f t="shared" si="0"/>
        <v>0.21563463730655869</v>
      </c>
      <c r="L15" s="272">
        <f t="shared" si="1"/>
        <v>65.88379210236899</v>
      </c>
      <c r="M15" s="272">
        <f t="shared" si="2"/>
        <v>0.42301140717777896</v>
      </c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</row>
    <row r="16" spans="2:27" ht="22.5" customHeight="1">
      <c r="B16" s="291" t="s">
        <v>514</v>
      </c>
      <c r="C16" s="271">
        <f>2244500621.37</f>
        <v>2244500621.37</v>
      </c>
      <c r="D16" s="292">
        <f>1148192029.48</f>
        <v>1148192029.48</v>
      </c>
      <c r="E16" s="271">
        <f>1138489049.32</f>
        <v>1138489049.32</v>
      </c>
      <c r="F16" s="271">
        <f>0</f>
        <v>0</v>
      </c>
      <c r="G16" s="271">
        <f>30900.67</f>
        <v>30900.67</v>
      </c>
      <c r="H16" s="271">
        <f>164982.84</f>
        <v>164982.84</v>
      </c>
      <c r="I16" s="271">
        <f>308293.88</f>
        <v>308293.88</v>
      </c>
      <c r="J16" s="271">
        <f>0</f>
        <v>0</v>
      </c>
      <c r="K16" s="272">
        <f t="shared" si="0"/>
        <v>1.5736740061904686</v>
      </c>
      <c r="L16" s="272">
        <f t="shared" si="1"/>
        <v>51.15579022558549</v>
      </c>
      <c r="M16" s="272">
        <f t="shared" si="2"/>
        <v>3.087083151911957</v>
      </c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</row>
    <row r="17" spans="2:27" ht="13.5" customHeight="1">
      <c r="B17" s="291" t="s">
        <v>515</v>
      </c>
      <c r="C17" s="271">
        <f>607181421.79</f>
        <v>607181421.79</v>
      </c>
      <c r="D17" s="292">
        <f>321480236.4</f>
        <v>321480236.4</v>
      </c>
      <c r="E17" s="271">
        <f>320311352.13</f>
        <v>320311352.13</v>
      </c>
      <c r="F17" s="271">
        <f>0</f>
        <v>0</v>
      </c>
      <c r="G17" s="271">
        <f>1694</f>
        <v>1694</v>
      </c>
      <c r="H17" s="271">
        <f>31172.3</f>
        <v>31172.3</v>
      </c>
      <c r="I17" s="271">
        <f>312505.4</f>
        <v>312505.4</v>
      </c>
      <c r="J17" s="271">
        <f>0</f>
        <v>0</v>
      </c>
      <c r="K17" s="272">
        <f t="shared" si="0"/>
        <v>0.44061017542140934</v>
      </c>
      <c r="L17" s="272">
        <f t="shared" si="1"/>
        <v>52.94632293792205</v>
      </c>
      <c r="M17" s="272">
        <f t="shared" si="2"/>
        <v>0.8643469001544745</v>
      </c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</row>
    <row r="18" spans="2:27" ht="22.5" customHeight="1">
      <c r="B18" s="291" t="s">
        <v>516</v>
      </c>
      <c r="C18" s="271">
        <f>218443444.2</f>
        <v>218443444.2</v>
      </c>
      <c r="D18" s="292">
        <f>111451476.17</f>
        <v>111451476.17</v>
      </c>
      <c r="E18" s="271">
        <f>111371029.35</f>
        <v>111371029.35</v>
      </c>
      <c r="F18" s="271">
        <f>0</f>
        <v>0</v>
      </c>
      <c r="G18" s="271">
        <f>0</f>
        <v>0</v>
      </c>
      <c r="H18" s="271">
        <f>44473.43</f>
        <v>44473.43</v>
      </c>
      <c r="I18" s="271">
        <f>49515</f>
        <v>49515</v>
      </c>
      <c r="J18" s="271">
        <f>0</f>
        <v>0</v>
      </c>
      <c r="K18" s="272">
        <f t="shared" si="0"/>
        <v>0.1527517057227059</v>
      </c>
      <c r="L18" s="272">
        <f t="shared" si="1"/>
        <v>51.02074661849706</v>
      </c>
      <c r="M18" s="272">
        <f t="shared" si="2"/>
        <v>0.2996536864098803</v>
      </c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</row>
    <row r="19" spans="2:27" ht="13.5" customHeight="1">
      <c r="B19" s="291" t="s">
        <v>517</v>
      </c>
      <c r="C19" s="271">
        <f>219754396</f>
        <v>219754396</v>
      </c>
      <c r="D19" s="292">
        <f>100834508.78</f>
        <v>100834508.78</v>
      </c>
      <c r="E19" s="271">
        <f>100557618.78</f>
        <v>100557618.78</v>
      </c>
      <c r="F19" s="271">
        <f>6430320.56</f>
        <v>6430320.56</v>
      </c>
      <c r="G19" s="271">
        <f>2791.2</f>
        <v>2791.2</v>
      </c>
      <c r="H19" s="271">
        <f>323181.44</f>
        <v>323181.44</v>
      </c>
      <c r="I19" s="271">
        <f>94600.2</f>
        <v>94600.2</v>
      </c>
      <c r="J19" s="271">
        <f>0</f>
        <v>0</v>
      </c>
      <c r="K19" s="272">
        <f t="shared" si="0"/>
        <v>0.1382004414940372</v>
      </c>
      <c r="L19" s="272">
        <f t="shared" si="1"/>
        <v>45.88509291072384</v>
      </c>
      <c r="M19" s="272">
        <f t="shared" si="2"/>
        <v>0.2711084079960324</v>
      </c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</row>
    <row r="20" spans="2:27" ht="13.5" customHeight="1">
      <c r="B20" s="291" t="s">
        <v>518</v>
      </c>
      <c r="C20" s="271">
        <f>7044137021</f>
        <v>7044137021</v>
      </c>
      <c r="D20" s="292">
        <f>2979423103.15</f>
        <v>2979423103.15</v>
      </c>
      <c r="E20" s="271">
        <f>2951842046.53</f>
        <v>2951842046.53</v>
      </c>
      <c r="F20" s="271">
        <f>0</f>
        <v>0</v>
      </c>
      <c r="G20" s="271">
        <f>97373.79</f>
        <v>97373.79</v>
      </c>
      <c r="H20" s="271">
        <f>13534.5</f>
        <v>13534.5</v>
      </c>
      <c r="I20" s="271">
        <f>2292</f>
        <v>2292</v>
      </c>
      <c r="J20" s="271">
        <f>2384.26</f>
        <v>2384.26</v>
      </c>
      <c r="K20" s="272">
        <f t="shared" si="0"/>
        <v>4.0834987271196415</v>
      </c>
      <c r="L20" s="272">
        <f t="shared" si="1"/>
        <v>42.29649557167522</v>
      </c>
      <c r="M20" s="272">
        <f t="shared" si="2"/>
        <v>8.010617238230722</v>
      </c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</row>
    <row r="21" spans="2:27" ht="13.5" customHeight="1">
      <c r="B21" s="291" t="s">
        <v>519</v>
      </c>
      <c r="C21" s="271">
        <f aca="true" t="shared" si="3" ref="C21:J21">C7-C8-C9-C10-C11-C12-C13-C14-C15-C16-C17-C18-C19-C20</f>
        <v>16804367675.070004</v>
      </c>
      <c r="D21" s="271">
        <f t="shared" si="3"/>
        <v>8388981071.679995</v>
      </c>
      <c r="E21" s="271">
        <f t="shared" si="3"/>
        <v>8261474517.48</v>
      </c>
      <c r="F21" s="271">
        <f t="shared" si="3"/>
        <v>4853777.689999911</v>
      </c>
      <c r="G21" s="271">
        <f t="shared" si="3"/>
        <v>1132897.699999993</v>
      </c>
      <c r="H21" s="271">
        <f t="shared" si="3"/>
        <v>11565139.939999996</v>
      </c>
      <c r="I21" s="271">
        <f t="shared" si="3"/>
        <v>10680512.89</v>
      </c>
      <c r="J21" s="271">
        <f t="shared" si="3"/>
        <v>2628691.92</v>
      </c>
      <c r="K21" s="272">
        <f t="shared" si="0"/>
        <v>11.497659896581455</v>
      </c>
      <c r="L21" s="272">
        <f t="shared" si="1"/>
        <v>49.92143253402749</v>
      </c>
      <c r="M21" s="272">
        <f t="shared" si="2"/>
        <v>22.555009495946624</v>
      </c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</row>
    <row r="22" spans="2:27" ht="25.5" customHeight="1">
      <c r="B22" s="289" t="s">
        <v>520</v>
      </c>
      <c r="C22" s="290">
        <f>C23+C25+C27+C29+C31</f>
        <v>27260651901.36</v>
      </c>
      <c r="D22" s="290">
        <f>D23+D25+D27+D29+D31</f>
        <v>12103052613.18</v>
      </c>
      <c r="E22" s="290">
        <f>E23+E25+E27+E29+E31</f>
        <v>12024521726.7</v>
      </c>
      <c r="F22" s="271" t="s">
        <v>521</v>
      </c>
      <c r="G22" s="271" t="s">
        <v>521</v>
      </c>
      <c r="H22" s="271" t="s">
        <v>521</v>
      </c>
      <c r="I22" s="271" t="s">
        <v>521</v>
      </c>
      <c r="J22" s="271" t="s">
        <v>521</v>
      </c>
      <c r="K22" s="270">
        <f t="shared" si="0"/>
        <v>16.588043466512108</v>
      </c>
      <c r="L22" s="270">
        <f t="shared" si="1"/>
        <v>44.39751718694663</v>
      </c>
      <c r="M22" s="274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</row>
    <row r="23" spans="2:27" ht="22.5" customHeight="1">
      <c r="B23" s="291" t="s">
        <v>522</v>
      </c>
      <c r="C23" s="271">
        <f>14249506232.24</f>
        <v>14249506232.24</v>
      </c>
      <c r="D23" s="271">
        <f>7357427786.18</f>
        <v>7357427786.18</v>
      </c>
      <c r="E23" s="271">
        <f>7293761306.45</f>
        <v>7293761306.45</v>
      </c>
      <c r="F23" s="271" t="s">
        <v>521</v>
      </c>
      <c r="G23" s="271" t="s">
        <v>521</v>
      </c>
      <c r="H23" s="271" t="s">
        <v>521</v>
      </c>
      <c r="I23" s="271" t="s">
        <v>521</v>
      </c>
      <c r="J23" s="271" t="s">
        <v>521</v>
      </c>
      <c r="K23" s="272">
        <f t="shared" si="0"/>
        <v>10.083847093746638</v>
      </c>
      <c r="L23" s="272">
        <f t="shared" si="1"/>
        <v>51.63286128142157</v>
      </c>
      <c r="M23" s="274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</row>
    <row r="24" spans="2:27" ht="13.5" customHeight="1">
      <c r="B24" s="293" t="s">
        <v>523</v>
      </c>
      <c r="C24" s="271">
        <f>440282880</f>
        <v>440282880</v>
      </c>
      <c r="D24" s="271">
        <f>128478666.26</f>
        <v>128478666.26</v>
      </c>
      <c r="E24" s="271">
        <f>128478666.26</f>
        <v>128478666.26</v>
      </c>
      <c r="F24" s="271" t="s">
        <v>521</v>
      </c>
      <c r="G24" s="271" t="s">
        <v>521</v>
      </c>
      <c r="H24" s="271" t="s">
        <v>521</v>
      </c>
      <c r="I24" s="271" t="s">
        <v>521</v>
      </c>
      <c r="J24" s="271" t="s">
        <v>521</v>
      </c>
      <c r="K24" s="272">
        <f t="shared" si="0"/>
        <v>0.17608860909350543</v>
      </c>
      <c r="L24" s="272">
        <f t="shared" si="1"/>
        <v>29.18093618811615</v>
      </c>
      <c r="M24" s="274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2:27" ht="13.5" customHeight="1">
      <c r="B25" s="291" t="s">
        <v>524</v>
      </c>
      <c r="C25" s="271">
        <f>11088272637.39</f>
        <v>11088272637.39</v>
      </c>
      <c r="D25" s="271">
        <f>4140941218.99</f>
        <v>4140941218.99</v>
      </c>
      <c r="E25" s="271">
        <f>4132647617.64</f>
        <v>4132647617.64</v>
      </c>
      <c r="F25" s="271" t="s">
        <v>521</v>
      </c>
      <c r="G25" s="271" t="s">
        <v>521</v>
      </c>
      <c r="H25" s="271" t="s">
        <v>521</v>
      </c>
      <c r="I25" s="271" t="s">
        <v>521</v>
      </c>
      <c r="J25" s="271" t="s">
        <v>521</v>
      </c>
      <c r="K25" s="272">
        <f t="shared" si="0"/>
        <v>5.6754370263643645</v>
      </c>
      <c r="L25" s="272">
        <f t="shared" si="1"/>
        <v>37.34523270131921</v>
      </c>
      <c r="M25" s="274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</row>
    <row r="26" spans="2:27" ht="13.5" customHeight="1">
      <c r="B26" s="293" t="s">
        <v>523</v>
      </c>
      <c r="C26" s="271">
        <f>5273380047.32</f>
        <v>5273380047.32</v>
      </c>
      <c r="D26" s="271">
        <f>1086769615</f>
        <v>1086769615</v>
      </c>
      <c r="E26" s="271">
        <f>1086567017.39</f>
        <v>1086567017.39</v>
      </c>
      <c r="F26" s="271" t="s">
        <v>521</v>
      </c>
      <c r="G26" s="271" t="s">
        <v>521</v>
      </c>
      <c r="H26" s="271" t="s">
        <v>521</v>
      </c>
      <c r="I26" s="271" t="s">
        <v>521</v>
      </c>
      <c r="J26" s="271" t="s">
        <v>521</v>
      </c>
      <c r="K26" s="272">
        <f t="shared" si="0"/>
        <v>1.4894904771440176</v>
      </c>
      <c r="L26" s="272">
        <f t="shared" si="1"/>
        <v>20.608596483621742</v>
      </c>
      <c r="M26" s="274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</row>
    <row r="27" spans="2:27" ht="33" customHeight="1">
      <c r="B27" s="291" t="s">
        <v>525</v>
      </c>
      <c r="C27" s="271">
        <f>267117945.99</f>
        <v>267117945.99</v>
      </c>
      <c r="D27" s="271">
        <f>64556780.29</f>
        <v>64556780.29</v>
      </c>
      <c r="E27" s="271">
        <f>64535386.6</f>
        <v>64535386.6</v>
      </c>
      <c r="F27" s="271" t="s">
        <v>521</v>
      </c>
      <c r="G27" s="271" t="s">
        <v>521</v>
      </c>
      <c r="H27" s="271" t="s">
        <v>521</v>
      </c>
      <c r="I27" s="271" t="s">
        <v>521</v>
      </c>
      <c r="J27" s="271" t="s">
        <v>521</v>
      </c>
      <c r="K27" s="272">
        <f t="shared" si="0"/>
        <v>0.08847938712109982</v>
      </c>
      <c r="L27" s="272">
        <f t="shared" si="1"/>
        <v>24.16789334416969</v>
      </c>
      <c r="M27" s="274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</row>
    <row r="28" spans="2:27" ht="13.5" customHeight="1">
      <c r="B28" s="293" t="s">
        <v>523</v>
      </c>
      <c r="C28" s="271">
        <f>199253184</f>
        <v>199253184</v>
      </c>
      <c r="D28" s="271">
        <f>49564681.66</f>
        <v>49564681.66</v>
      </c>
      <c r="E28" s="271">
        <f>49564681.66</f>
        <v>49564681.66</v>
      </c>
      <c r="F28" s="271" t="s">
        <v>521</v>
      </c>
      <c r="G28" s="271" t="s">
        <v>521</v>
      </c>
      <c r="H28" s="271" t="s">
        <v>521</v>
      </c>
      <c r="I28" s="271" t="s">
        <v>521</v>
      </c>
      <c r="J28" s="271" t="s">
        <v>521</v>
      </c>
      <c r="K28" s="272">
        <f t="shared" si="0"/>
        <v>0.06793171277174946</v>
      </c>
      <c r="L28" s="272">
        <f t="shared" si="1"/>
        <v>24.875226917327453</v>
      </c>
      <c r="M28" s="274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</row>
    <row r="29" spans="2:27" ht="33" customHeight="1">
      <c r="B29" s="291" t="s">
        <v>526</v>
      </c>
      <c r="C29" s="271">
        <f>1108540248.47</f>
        <v>1108540248.47</v>
      </c>
      <c r="D29" s="271">
        <f>389571816.92</f>
        <v>389571816.92</v>
      </c>
      <c r="E29" s="271">
        <f>388934650.41</f>
        <v>388934650.41</v>
      </c>
      <c r="F29" s="271" t="s">
        <v>521</v>
      </c>
      <c r="G29" s="271" t="s">
        <v>521</v>
      </c>
      <c r="H29" s="271" t="s">
        <v>521</v>
      </c>
      <c r="I29" s="271" t="s">
        <v>521</v>
      </c>
      <c r="J29" s="271" t="s">
        <v>521</v>
      </c>
      <c r="K29" s="270">
        <f t="shared" si="0"/>
        <v>0.5339342427843207</v>
      </c>
      <c r="L29" s="272">
        <f t="shared" si="1"/>
        <v>35.1427760478417</v>
      </c>
      <c r="M29" s="274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</row>
    <row r="30" spans="2:27" ht="13.5" customHeight="1">
      <c r="B30" s="293" t="s">
        <v>523</v>
      </c>
      <c r="C30" s="271">
        <f>505803040.32</f>
        <v>505803040.32</v>
      </c>
      <c r="D30" s="271">
        <f>93406122.51</f>
        <v>93406122.51</v>
      </c>
      <c r="E30" s="271">
        <f>93301672.51</f>
        <v>93301672.51</v>
      </c>
      <c r="F30" s="271" t="s">
        <v>521</v>
      </c>
      <c r="G30" s="271" t="s">
        <v>521</v>
      </c>
      <c r="H30" s="271" t="s">
        <v>521</v>
      </c>
      <c r="I30" s="271" t="s">
        <v>521</v>
      </c>
      <c r="J30" s="271" t="s">
        <v>521</v>
      </c>
      <c r="K30" s="272">
        <f t="shared" si="0"/>
        <v>0.12801934105011986</v>
      </c>
      <c r="L30" s="272">
        <f t="shared" si="1"/>
        <v>18.46689621535409</v>
      </c>
      <c r="M30" s="274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</row>
    <row r="31" spans="2:27" ht="22.5" customHeight="1">
      <c r="B31" s="291" t="s">
        <v>527</v>
      </c>
      <c r="C31" s="271">
        <f>547214837.27</f>
        <v>547214837.27</v>
      </c>
      <c r="D31" s="271">
        <f>150555010.8</f>
        <v>150555010.8</v>
      </c>
      <c r="E31" s="271">
        <f>144642765.6</f>
        <v>144642765.6</v>
      </c>
      <c r="F31" s="271" t="s">
        <v>521</v>
      </c>
      <c r="G31" s="271" t="s">
        <v>521</v>
      </c>
      <c r="H31" s="271" t="s">
        <v>521</v>
      </c>
      <c r="I31" s="271" t="s">
        <v>521</v>
      </c>
      <c r="J31" s="271" t="s">
        <v>521</v>
      </c>
      <c r="K31" s="272">
        <f t="shared" si="0"/>
        <v>0.206345716495685</v>
      </c>
      <c r="L31" s="272">
        <f t="shared" si="1"/>
        <v>27.512962102983884</v>
      </c>
      <c r="M31" s="274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</row>
    <row r="32" spans="2:27" ht="13.5" customHeight="1">
      <c r="B32" s="293" t="s">
        <v>523</v>
      </c>
      <c r="C32" s="271">
        <f>443280577.54</f>
        <v>443280577.54</v>
      </c>
      <c r="D32" s="271">
        <f>106531903.19</f>
        <v>106531903.19</v>
      </c>
      <c r="E32" s="271">
        <f>100947000.87</f>
        <v>100947000.87</v>
      </c>
      <c r="F32" s="271" t="s">
        <v>521</v>
      </c>
      <c r="G32" s="271" t="s">
        <v>521</v>
      </c>
      <c r="H32" s="271" t="s">
        <v>521</v>
      </c>
      <c r="I32" s="271" t="s">
        <v>521</v>
      </c>
      <c r="J32" s="271" t="s">
        <v>521</v>
      </c>
      <c r="K32" s="272">
        <f t="shared" si="0"/>
        <v>0.14600910176673773</v>
      </c>
      <c r="L32" s="272">
        <f t="shared" si="1"/>
        <v>24.032612432785182</v>
      </c>
      <c r="M32" s="274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</row>
    <row r="33" spans="2:13" s="273" customFormat="1" ht="25.5" customHeight="1">
      <c r="B33" s="289" t="s">
        <v>528</v>
      </c>
      <c r="C33" s="290">
        <f>C34+C35+C36+C37+C38+C39</f>
        <v>40244356214</v>
      </c>
      <c r="D33" s="290">
        <f>D34+D35+D36+D37+D38+D39</f>
        <v>23666028465.64</v>
      </c>
      <c r="E33" s="290">
        <f>E34+E35+E36+E37+E38+E39</f>
        <v>22353658763.19</v>
      </c>
      <c r="F33" s="271" t="s">
        <v>521</v>
      </c>
      <c r="G33" s="271" t="s">
        <v>521</v>
      </c>
      <c r="H33" s="271" t="s">
        <v>521</v>
      </c>
      <c r="I33" s="271" t="s">
        <v>521</v>
      </c>
      <c r="J33" s="271" t="s">
        <v>521</v>
      </c>
      <c r="K33" s="270">
        <f t="shared" si="0"/>
        <v>32.43587559391788</v>
      </c>
      <c r="L33" s="270">
        <f t="shared" si="1"/>
        <v>58.805831902976706</v>
      </c>
      <c r="M33" s="274"/>
    </row>
    <row r="34" spans="2:27" ht="13.5" customHeight="1">
      <c r="B34" s="291" t="s">
        <v>529</v>
      </c>
      <c r="C34" s="271">
        <f>7234882989</f>
        <v>7234882989</v>
      </c>
      <c r="D34" s="271">
        <f>3617442487</f>
        <v>3617442487</v>
      </c>
      <c r="E34" s="271">
        <f>3613077747</f>
        <v>3613077747</v>
      </c>
      <c r="F34" s="271" t="s">
        <v>521</v>
      </c>
      <c r="G34" s="271" t="s">
        <v>521</v>
      </c>
      <c r="H34" s="271" t="s">
        <v>521</v>
      </c>
      <c r="I34" s="271" t="s">
        <v>521</v>
      </c>
      <c r="J34" s="271" t="s">
        <v>521</v>
      </c>
      <c r="K34" s="272">
        <f t="shared" si="0"/>
        <v>4.957946984929894</v>
      </c>
      <c r="L34" s="272">
        <f t="shared" si="1"/>
        <v>50.00001371825918</v>
      </c>
      <c r="M34" s="274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</row>
    <row r="35" spans="2:27" ht="13.5" customHeight="1">
      <c r="B35" s="291" t="s">
        <v>530</v>
      </c>
      <c r="C35" s="271">
        <f>30719782797</f>
        <v>30719782797</v>
      </c>
      <c r="D35" s="271">
        <f>18943976697.64</f>
        <v>18943976697.64</v>
      </c>
      <c r="E35" s="271">
        <f>17637427453.19</f>
        <v>17637427453.19</v>
      </c>
      <c r="F35" s="271" t="s">
        <v>521</v>
      </c>
      <c r="G35" s="271" t="s">
        <v>521</v>
      </c>
      <c r="H35" s="271" t="s">
        <v>521</v>
      </c>
      <c r="I35" s="271" t="s">
        <v>521</v>
      </c>
      <c r="J35" s="271" t="s">
        <v>521</v>
      </c>
      <c r="K35" s="272">
        <f t="shared" si="0"/>
        <v>25.963987675872733</v>
      </c>
      <c r="L35" s="272">
        <f t="shared" si="1"/>
        <v>61.66702682380297</v>
      </c>
      <c r="M35" s="274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</row>
    <row r="36" spans="2:27" ht="13.5" customHeight="1">
      <c r="B36" s="291" t="s">
        <v>531</v>
      </c>
      <c r="C36" s="271">
        <f>9579129</f>
        <v>9579129</v>
      </c>
      <c r="D36" s="271">
        <f>83780</f>
        <v>83780</v>
      </c>
      <c r="E36" s="271">
        <f>83780</f>
        <v>83780</v>
      </c>
      <c r="F36" s="271" t="s">
        <v>521</v>
      </c>
      <c r="G36" s="271" t="s">
        <v>521</v>
      </c>
      <c r="H36" s="271" t="s">
        <v>521</v>
      </c>
      <c r="I36" s="271" t="s">
        <v>521</v>
      </c>
      <c r="J36" s="271" t="s">
        <v>521</v>
      </c>
      <c r="K36" s="272">
        <f t="shared" si="0"/>
        <v>0.0001148260960305978</v>
      </c>
      <c r="L36" s="272">
        <f t="shared" si="1"/>
        <v>0.8746097896792078</v>
      </c>
      <c r="M36" s="274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</row>
    <row r="37" spans="2:27" ht="13.5" customHeight="1">
      <c r="B37" s="291" t="s">
        <v>532</v>
      </c>
      <c r="C37" s="271">
        <f>1462735024</f>
        <v>1462735024</v>
      </c>
      <c r="D37" s="271">
        <f>731485877</f>
        <v>731485877</v>
      </c>
      <c r="E37" s="271">
        <f>730030159</f>
        <v>730030159</v>
      </c>
      <c r="F37" s="271" t="s">
        <v>521</v>
      </c>
      <c r="G37" s="271" t="s">
        <v>521</v>
      </c>
      <c r="H37" s="271" t="s">
        <v>521</v>
      </c>
      <c r="I37" s="271" t="s">
        <v>521</v>
      </c>
      <c r="J37" s="271" t="s">
        <v>521</v>
      </c>
      <c r="K37" s="272">
        <f t="shared" si="0"/>
        <v>1.0025503408621157</v>
      </c>
      <c r="L37" s="272">
        <f t="shared" si="1"/>
        <v>50.00809203294226</v>
      </c>
      <c r="M37" s="274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</row>
    <row r="38" spans="2:27" ht="13.5" customHeight="1">
      <c r="B38" s="275" t="s">
        <v>533</v>
      </c>
      <c r="C38" s="271">
        <f>720651704</f>
        <v>720651704</v>
      </c>
      <c r="D38" s="271">
        <f>360325854</f>
        <v>360325854</v>
      </c>
      <c r="E38" s="271">
        <f>360325854</f>
        <v>360325854</v>
      </c>
      <c r="F38" s="271" t="s">
        <v>521</v>
      </c>
      <c r="G38" s="271" t="s">
        <v>521</v>
      </c>
      <c r="H38" s="271" t="s">
        <v>521</v>
      </c>
      <c r="I38" s="271" t="s">
        <v>521</v>
      </c>
      <c r="J38" s="271" t="s">
        <v>521</v>
      </c>
      <c r="K38" s="276">
        <f t="shared" si="0"/>
        <v>0.49385069364658823</v>
      </c>
      <c r="L38" s="276">
        <f t="shared" si="1"/>
        <v>50.000000277526574</v>
      </c>
      <c r="M38" s="274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</row>
    <row r="39" spans="2:13" s="273" customFormat="1" ht="22.5" customHeight="1">
      <c r="B39" s="291" t="s">
        <v>534</v>
      </c>
      <c r="C39" s="271">
        <f>96724571</f>
        <v>96724571</v>
      </c>
      <c r="D39" s="271">
        <f>12713770</f>
        <v>12713770</v>
      </c>
      <c r="E39" s="271">
        <f>12713770</f>
        <v>12713770</v>
      </c>
      <c r="F39" s="271" t="s">
        <v>521</v>
      </c>
      <c r="G39" s="271" t="s">
        <v>521</v>
      </c>
      <c r="H39" s="271" t="s">
        <v>521</v>
      </c>
      <c r="I39" s="271" t="s">
        <v>521</v>
      </c>
      <c r="J39" s="271" t="s">
        <v>521</v>
      </c>
      <c r="K39" s="272">
        <f t="shared" si="0"/>
        <v>0.017425072510514842</v>
      </c>
      <c r="L39" s="272">
        <f t="shared" si="1"/>
        <v>13.144302289022301</v>
      </c>
      <c r="M39" s="274"/>
    </row>
    <row r="40" spans="1:13" s="273" customFormat="1" ht="13.5" customHeight="1">
      <c r="A40" s="277"/>
      <c r="B40" s="278"/>
      <c r="C40" s="279"/>
      <c r="D40" s="280"/>
      <c r="E40" s="280"/>
      <c r="F40" s="281"/>
      <c r="G40" s="281"/>
      <c r="H40" s="281"/>
      <c r="I40" s="281"/>
      <c r="J40" s="281"/>
      <c r="K40" s="282"/>
      <c r="L40" s="282"/>
      <c r="M40" s="283"/>
    </row>
    <row r="41" spans="1:13" s="273" customFormat="1" ht="13.5" customHeight="1">
      <c r="A41" s="277"/>
      <c r="B41" s="278"/>
      <c r="C41" s="279"/>
      <c r="D41" s="280"/>
      <c r="E41" s="280"/>
      <c r="F41" s="281"/>
      <c r="G41" s="281"/>
      <c r="H41" s="281"/>
      <c r="I41" s="281"/>
      <c r="J41" s="281"/>
      <c r="K41" s="282"/>
      <c r="L41" s="282"/>
      <c r="M41" s="283"/>
    </row>
    <row r="42" spans="2:27" ht="75" customHeight="1">
      <c r="B42" s="667" t="str">
        <f>CONCATENATE("Informacja z wykonania budżetów jednostek samorządu terytorialnego za ",$D$97," ",$C$98," roku")</f>
        <v>Informacja z wykonania budżetów jednostek samorządu terytorialnego za 2 kwartały 2008 roku</v>
      </c>
      <c r="C42" s="667"/>
      <c r="D42" s="667"/>
      <c r="E42" s="667"/>
      <c r="F42" s="667"/>
      <c r="G42" s="667"/>
      <c r="H42" s="667"/>
      <c r="I42" s="667"/>
      <c r="J42" s="667"/>
      <c r="K42" s="667"/>
      <c r="L42" s="667"/>
      <c r="M42" s="667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</row>
    <row r="43" spans="2:13" s="273" customFormat="1" ht="13.5" customHeight="1">
      <c r="B43" s="284"/>
      <c r="C43" s="279"/>
      <c r="D43" s="280"/>
      <c r="E43" s="280"/>
      <c r="F43" s="285"/>
      <c r="G43" s="285"/>
      <c r="H43" s="285"/>
      <c r="I43" s="285"/>
      <c r="J43" s="285"/>
      <c r="K43" s="282"/>
      <c r="L43" s="282"/>
      <c r="M43" s="283"/>
    </row>
    <row r="44" spans="2:27" ht="29.25" customHeight="1">
      <c r="B44" s="672" t="s">
        <v>500</v>
      </c>
      <c r="C44" s="668" t="s">
        <v>597</v>
      </c>
      <c r="D44" s="668" t="s">
        <v>598</v>
      </c>
      <c r="E44" s="668" t="s">
        <v>599</v>
      </c>
      <c r="F44" s="668" t="s">
        <v>535</v>
      </c>
      <c r="G44" s="668"/>
      <c r="H44" s="668"/>
      <c r="I44" s="668" t="s">
        <v>600</v>
      </c>
      <c r="J44" s="668"/>
      <c r="K44" s="668" t="s">
        <v>501</v>
      </c>
      <c r="L44" s="671" t="s">
        <v>536</v>
      </c>
      <c r="M44" s="273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2:27" ht="18" customHeight="1">
      <c r="B45" s="672"/>
      <c r="C45" s="668"/>
      <c r="D45" s="661"/>
      <c r="E45" s="668"/>
      <c r="F45" s="669" t="s">
        <v>601</v>
      </c>
      <c r="G45" s="670" t="s">
        <v>537</v>
      </c>
      <c r="H45" s="661"/>
      <c r="I45" s="668"/>
      <c r="J45" s="668"/>
      <c r="K45" s="668"/>
      <c r="L45" s="671"/>
      <c r="M45" s="296"/>
      <c r="N45" s="297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</row>
    <row r="46" spans="2:27" ht="36" customHeight="1">
      <c r="B46" s="672"/>
      <c r="C46" s="668"/>
      <c r="D46" s="661"/>
      <c r="E46" s="668"/>
      <c r="F46" s="661"/>
      <c r="G46" s="294" t="s">
        <v>602</v>
      </c>
      <c r="H46" s="294" t="s">
        <v>603</v>
      </c>
      <c r="I46" s="668"/>
      <c r="J46" s="668"/>
      <c r="K46" s="668"/>
      <c r="L46" s="671"/>
      <c r="M46" s="296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</row>
    <row r="47" spans="2:27" ht="13.5" customHeight="1">
      <c r="B47" s="672"/>
      <c r="C47" s="649"/>
      <c r="D47" s="649"/>
      <c r="E47" s="649"/>
      <c r="F47" s="649"/>
      <c r="G47" s="649"/>
      <c r="H47" s="649"/>
      <c r="I47" s="649"/>
      <c r="J47" s="649"/>
      <c r="K47" s="649" t="s">
        <v>12</v>
      </c>
      <c r="L47" s="649"/>
      <c r="M47" s="273"/>
      <c r="N47" s="273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</row>
    <row r="48" spans="2:27" ht="11.25" customHeight="1">
      <c r="B48" s="287">
        <v>1</v>
      </c>
      <c r="C48" s="288">
        <v>2</v>
      </c>
      <c r="D48" s="288">
        <v>3</v>
      </c>
      <c r="E48" s="288">
        <v>4</v>
      </c>
      <c r="F48" s="287">
        <v>5</v>
      </c>
      <c r="G48" s="287">
        <v>6</v>
      </c>
      <c r="H48" s="288">
        <v>7</v>
      </c>
      <c r="I48" s="661">
        <v>8</v>
      </c>
      <c r="J48" s="661"/>
      <c r="K48" s="287">
        <v>9</v>
      </c>
      <c r="L48" s="288">
        <v>10</v>
      </c>
      <c r="M48" s="273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</row>
    <row r="49" spans="2:27" ht="25.5" customHeight="1">
      <c r="B49" s="289" t="s">
        <v>538</v>
      </c>
      <c r="C49" s="299">
        <f>161952686361.38</f>
        <v>161952686361.38</v>
      </c>
      <c r="D49" s="299">
        <f>103320641212.511</f>
        <v>103320641212.511</v>
      </c>
      <c r="E49" s="299">
        <f>60787376295.8</f>
        <v>60787376295.8</v>
      </c>
      <c r="F49" s="299">
        <f>2816034430.18</f>
        <v>2816034430.18</v>
      </c>
      <c r="G49" s="299">
        <f>20075634.51</f>
        <v>20075634.51</v>
      </c>
      <c r="H49" s="299">
        <f>45195759.72</f>
        <v>45195759.72</v>
      </c>
      <c r="I49" s="666">
        <f>64</f>
        <v>64</v>
      </c>
      <c r="J49" s="666"/>
      <c r="K49" s="300">
        <f aca="true" t="shared" si="4" ref="K49:K59">IF($E$49=0,"",100*$E49/$E$49)</f>
        <v>100</v>
      </c>
      <c r="L49" s="300">
        <f aca="true" t="shared" si="5" ref="L49:L59">IF(C49=0,"",100*E49/C49)</f>
        <v>37.53403395863376</v>
      </c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</row>
    <row r="50" spans="2:27" ht="24" customHeight="1">
      <c r="B50" s="289" t="s">
        <v>539</v>
      </c>
      <c r="C50" s="301">
        <f>45839503780.25</f>
        <v>45839503780.25</v>
      </c>
      <c r="D50" s="301">
        <f>18361878614.33</f>
        <v>18361878614.33</v>
      </c>
      <c r="E50" s="301">
        <f>7692167575.06</f>
        <v>7692167575.06</v>
      </c>
      <c r="F50" s="301">
        <f>851856845.27</f>
        <v>851856845.27</v>
      </c>
      <c r="G50" s="301">
        <f>8911172.01</f>
        <v>8911172.01</v>
      </c>
      <c r="H50" s="301">
        <f>17225869.57</f>
        <v>17225869.57</v>
      </c>
      <c r="I50" s="665">
        <f>0</f>
        <v>0</v>
      </c>
      <c r="J50" s="665"/>
      <c r="K50" s="300">
        <f t="shared" si="4"/>
        <v>12.65421876020577</v>
      </c>
      <c r="L50" s="300">
        <f t="shared" si="5"/>
        <v>16.78065192837925</v>
      </c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</row>
    <row r="51" spans="2:27" ht="22.5" customHeight="1">
      <c r="B51" s="291" t="s">
        <v>540</v>
      </c>
      <c r="C51" s="271">
        <f>44837595215.53</f>
        <v>44837595215.53</v>
      </c>
      <c r="D51" s="271">
        <f>17850207612.75</f>
        <v>17850207612.75</v>
      </c>
      <c r="E51" s="271">
        <f>7273726289.42</f>
        <v>7273726289.42</v>
      </c>
      <c r="F51" s="271">
        <f>849844651.87</f>
        <v>849844651.87</v>
      </c>
      <c r="G51" s="271">
        <f>8907422.01</f>
        <v>8907422.01</v>
      </c>
      <c r="H51" s="271">
        <f>17221869.57</f>
        <v>17221869.57</v>
      </c>
      <c r="I51" s="663">
        <f>0</f>
        <v>0</v>
      </c>
      <c r="J51" s="663"/>
      <c r="K51" s="276">
        <f t="shared" si="4"/>
        <v>11.965850037720028</v>
      </c>
      <c r="L51" s="276">
        <f t="shared" si="5"/>
        <v>16.222382700178052</v>
      </c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</row>
    <row r="52" spans="2:27" ht="25.5" customHeight="1">
      <c r="B52" s="289" t="s">
        <v>541</v>
      </c>
      <c r="C52" s="301">
        <f aca="true" t="shared" si="6" ref="C52:I52">C49-C50</f>
        <v>116113182581.13</v>
      </c>
      <c r="D52" s="301">
        <f t="shared" si="6"/>
        <v>84958762598.181</v>
      </c>
      <c r="E52" s="301">
        <f t="shared" si="6"/>
        <v>53095208720.740005</v>
      </c>
      <c r="F52" s="301">
        <f t="shared" si="6"/>
        <v>1964177584.9099998</v>
      </c>
      <c r="G52" s="301">
        <f t="shared" si="6"/>
        <v>11164462.500000002</v>
      </c>
      <c r="H52" s="301">
        <f t="shared" si="6"/>
        <v>27969890.15</v>
      </c>
      <c r="I52" s="665">
        <f t="shared" si="6"/>
        <v>64</v>
      </c>
      <c r="J52" s="665"/>
      <c r="K52" s="300">
        <f t="shared" si="4"/>
        <v>87.34578123979423</v>
      </c>
      <c r="L52" s="300">
        <f t="shared" si="5"/>
        <v>45.72711516510332</v>
      </c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</row>
    <row r="53" spans="2:27" ht="13.5" customHeight="1">
      <c r="B53" s="291" t="s">
        <v>542</v>
      </c>
      <c r="C53" s="271">
        <f>41964140219.01</f>
        <v>41964140219.01</v>
      </c>
      <c r="D53" s="271">
        <f>36591826460.02</f>
        <v>36591826460.02</v>
      </c>
      <c r="E53" s="271">
        <f>21142342139.76</f>
        <v>21142342139.76</v>
      </c>
      <c r="F53" s="271">
        <f>669218198</f>
        <v>669218198</v>
      </c>
      <c r="G53" s="271">
        <f>12672.78</f>
        <v>12672.78</v>
      </c>
      <c r="H53" s="271">
        <f>2462009.09</f>
        <v>2462009.09</v>
      </c>
      <c r="I53" s="663">
        <f>64</f>
        <v>64</v>
      </c>
      <c r="J53" s="663"/>
      <c r="K53" s="276">
        <f t="shared" si="4"/>
        <v>34.78081047103984</v>
      </c>
      <c r="L53" s="276">
        <f t="shared" si="5"/>
        <v>50.381926162238855</v>
      </c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</row>
    <row r="54" spans="2:27" ht="22.5" customHeight="1">
      <c r="B54" s="293" t="s">
        <v>543</v>
      </c>
      <c r="C54" s="302">
        <f>38253324548.93</f>
        <v>38253324548.93</v>
      </c>
      <c r="D54" s="302">
        <f>33377164692.36</f>
        <v>33377164692.36</v>
      </c>
      <c r="E54" s="302">
        <f>18122536148.47</f>
        <v>18122536148.47</v>
      </c>
      <c r="F54" s="302">
        <f>651916883.09</f>
        <v>651916883.09</v>
      </c>
      <c r="G54" s="302">
        <f>8066.87</f>
        <v>8066.87</v>
      </c>
      <c r="H54" s="302">
        <f>2313206.87</f>
        <v>2313206.87</v>
      </c>
      <c r="I54" s="664">
        <f>64</f>
        <v>64</v>
      </c>
      <c r="J54" s="664"/>
      <c r="K54" s="276">
        <f t="shared" si="4"/>
        <v>29.81299284950738</v>
      </c>
      <c r="L54" s="276">
        <f t="shared" si="5"/>
        <v>47.37506180747606</v>
      </c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</row>
    <row r="55" spans="2:27" ht="13.5" customHeight="1">
      <c r="B55" s="291" t="s">
        <v>544</v>
      </c>
      <c r="C55" s="271">
        <f>8115974180.21</f>
        <v>8115974180.21</v>
      </c>
      <c r="D55" s="271">
        <f>6947585830.171</f>
        <v>6947585830.171</v>
      </c>
      <c r="E55" s="271">
        <f>3763476861.49</f>
        <v>3763476861.49</v>
      </c>
      <c r="F55" s="271">
        <f>408848180.49</f>
        <v>408848180.49</v>
      </c>
      <c r="G55" s="271">
        <f>1030237.63</f>
        <v>1030237.63</v>
      </c>
      <c r="H55" s="271">
        <f>1335932.23</f>
        <v>1335932.23</v>
      </c>
      <c r="I55" s="663">
        <f>0</f>
        <v>0</v>
      </c>
      <c r="J55" s="663"/>
      <c r="K55" s="276">
        <f t="shared" si="4"/>
        <v>6.191214510026534</v>
      </c>
      <c r="L55" s="276">
        <f t="shared" si="5"/>
        <v>46.37122762991122</v>
      </c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</row>
    <row r="56" spans="2:27" ht="13.5" customHeight="1">
      <c r="B56" s="291" t="s">
        <v>545</v>
      </c>
      <c r="C56" s="302">
        <f>13514167394.59</f>
        <v>13514167394.59</v>
      </c>
      <c r="D56" s="302">
        <f>8932535683.55</f>
        <v>8932535683.55</v>
      </c>
      <c r="E56" s="302">
        <f>5839678784.08</f>
        <v>5839678784.08</v>
      </c>
      <c r="F56" s="302">
        <f>8338975.81</f>
        <v>8338975.81</v>
      </c>
      <c r="G56" s="302">
        <f>218150.38</f>
        <v>218150.38</v>
      </c>
      <c r="H56" s="302">
        <f>42948</f>
        <v>42948</v>
      </c>
      <c r="I56" s="664">
        <f>0</f>
        <v>0</v>
      </c>
      <c r="J56" s="664"/>
      <c r="K56" s="276">
        <f t="shared" si="4"/>
        <v>9.606729455904288</v>
      </c>
      <c r="L56" s="276">
        <f t="shared" si="5"/>
        <v>43.211532117159834</v>
      </c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</row>
    <row r="57" spans="2:27" ht="13.5" customHeight="1">
      <c r="B57" s="291" t="s">
        <v>546</v>
      </c>
      <c r="C57" s="271">
        <f>1472826848.73</f>
        <v>1472826848.73</v>
      </c>
      <c r="D57" s="271">
        <f>763591798.88</f>
        <v>763591798.88</v>
      </c>
      <c r="E57" s="271">
        <f>574813365.38</f>
        <v>574813365.38</v>
      </c>
      <c r="F57" s="271">
        <f>27068901.64</f>
        <v>27068901.64</v>
      </c>
      <c r="G57" s="271">
        <f>0</f>
        <v>0</v>
      </c>
      <c r="H57" s="271">
        <f>11575.77</f>
        <v>11575.77</v>
      </c>
      <c r="I57" s="663">
        <f>0</f>
        <v>0</v>
      </c>
      <c r="J57" s="663"/>
      <c r="K57" s="276">
        <f t="shared" si="4"/>
        <v>0.9456130539059238</v>
      </c>
      <c r="L57" s="276">
        <f t="shared" si="5"/>
        <v>39.02789834905945</v>
      </c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</row>
    <row r="58" spans="2:27" ht="22.5" customHeight="1">
      <c r="B58" s="291" t="s">
        <v>547</v>
      </c>
      <c r="C58" s="302">
        <f>468941526.12</f>
        <v>468941526.12</v>
      </c>
      <c r="D58" s="302">
        <f>89065044.82</f>
        <v>89065044.82</v>
      </c>
      <c r="E58" s="302">
        <f>28214228.69</f>
        <v>28214228.69</v>
      </c>
      <c r="F58" s="302">
        <f>816136.16</f>
        <v>816136.16</v>
      </c>
      <c r="G58" s="302">
        <f>0</f>
        <v>0</v>
      </c>
      <c r="H58" s="302">
        <f>201456.98</f>
        <v>201456.98</v>
      </c>
      <c r="I58" s="664">
        <f>0</f>
        <v>0</v>
      </c>
      <c r="J58" s="664"/>
      <c r="K58" s="276">
        <f t="shared" si="4"/>
        <v>0.04641461831269959</v>
      </c>
      <c r="L58" s="276">
        <f t="shared" si="5"/>
        <v>6.016577146290112</v>
      </c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</row>
    <row r="59" spans="2:27" ht="13.5" customHeight="1">
      <c r="B59" s="291" t="s">
        <v>548</v>
      </c>
      <c r="C59" s="271">
        <f aca="true" t="shared" si="7" ref="C59:I59">C52-C53-C55-C56-C57-C58</f>
        <v>50577132412.469986</v>
      </c>
      <c r="D59" s="271">
        <f t="shared" si="7"/>
        <v>31634157780.740005</v>
      </c>
      <c r="E59" s="271">
        <f t="shared" si="7"/>
        <v>21746683341.340004</v>
      </c>
      <c r="F59" s="271">
        <f t="shared" si="7"/>
        <v>849887192.81</v>
      </c>
      <c r="G59" s="271">
        <f t="shared" si="7"/>
        <v>9903401.71</v>
      </c>
      <c r="H59" s="271">
        <f t="shared" si="7"/>
        <v>23915968.08</v>
      </c>
      <c r="I59" s="663">
        <f t="shared" si="7"/>
        <v>0</v>
      </c>
      <c r="J59" s="663">
        <f>J52-J53-J55-J56-J57</f>
        <v>0</v>
      </c>
      <c r="K59" s="276">
        <f t="shared" si="4"/>
        <v>35.77499913060494</v>
      </c>
      <c r="L59" s="276">
        <f t="shared" si="5"/>
        <v>42.997066666393835</v>
      </c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</row>
    <row r="60" spans="2:27" ht="24" customHeight="1">
      <c r="B60" s="289" t="s">
        <v>549</v>
      </c>
      <c r="C60" s="301">
        <f>C6-C49</f>
        <v>-18550878001.679993</v>
      </c>
      <c r="D60" s="301"/>
      <c r="E60" s="301">
        <f>D6-E49</f>
        <v>12175132137.539993</v>
      </c>
      <c r="F60" s="301"/>
      <c r="G60" s="301"/>
      <c r="H60" s="301"/>
      <c r="I60" s="665"/>
      <c r="J60" s="665"/>
      <c r="K60" s="558"/>
      <c r="L60" s="558"/>
      <c r="M60" s="559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</row>
    <row r="61" spans="2:27" ht="12" customHeight="1">
      <c r="B61" s="303"/>
      <c r="C61" s="304"/>
      <c r="D61" s="304"/>
      <c r="E61" s="304"/>
      <c r="F61" s="283"/>
      <c r="G61" s="283"/>
      <c r="H61" s="283"/>
      <c r="I61" s="283"/>
      <c r="J61" s="273"/>
      <c r="K61" s="273"/>
      <c r="L61" s="295"/>
      <c r="M61" s="295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</row>
    <row r="62" spans="2:27" ht="12" customHeight="1">
      <c r="B62" s="303"/>
      <c r="C62" s="304"/>
      <c r="D62" s="304"/>
      <c r="E62" s="304"/>
      <c r="F62" s="283"/>
      <c r="G62" s="283"/>
      <c r="H62" s="283"/>
      <c r="I62" s="283"/>
      <c r="J62" s="273"/>
      <c r="K62" s="273"/>
      <c r="L62" s="295"/>
      <c r="M62" s="295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</row>
    <row r="63" spans="2:27" ht="12" customHeight="1">
      <c r="B63" s="303"/>
      <c r="C63" s="304"/>
      <c r="D63" s="304"/>
      <c r="E63" s="304"/>
      <c r="F63" s="283"/>
      <c r="G63" s="283"/>
      <c r="H63" s="283"/>
      <c r="I63" s="283"/>
      <c r="J63" s="273"/>
      <c r="K63" s="273"/>
      <c r="L63" s="295"/>
      <c r="M63" s="295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</row>
    <row r="64" spans="2:27" ht="12" customHeight="1">
      <c r="B64" s="303"/>
      <c r="C64" s="304"/>
      <c r="D64" s="304"/>
      <c r="E64" s="304"/>
      <c r="F64" s="283"/>
      <c r="G64" s="283"/>
      <c r="H64" s="283"/>
      <c r="I64" s="283"/>
      <c r="J64" s="273"/>
      <c r="K64" s="273"/>
      <c r="L64" s="295"/>
      <c r="M64" s="295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</row>
    <row r="65" spans="2:27" ht="12.75"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</row>
    <row r="66" spans="2:27" ht="12.75"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</row>
    <row r="67" spans="2:27" ht="75" customHeight="1">
      <c r="B67" s="667" t="str">
        <f>CONCATENATE("Informacja z wykonania budżetów jednostek samorządu terytorialnego za ",$D$97," ",$C$98," roku")</f>
        <v>Informacja z wykonania budżetów jednostek samorządu terytorialnego za 2 kwartały 2008 roku</v>
      </c>
      <c r="C67" s="667"/>
      <c r="D67" s="667"/>
      <c r="E67" s="667"/>
      <c r="F67" s="667"/>
      <c r="G67" s="667"/>
      <c r="H67" s="667"/>
      <c r="I67" s="667"/>
      <c r="J67" s="667"/>
      <c r="K67" s="667"/>
      <c r="L67" s="667"/>
      <c r="M67" s="667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</row>
    <row r="68" spans="2:27" ht="12.75"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</row>
    <row r="69" spans="2:27" ht="18" customHeight="1">
      <c r="B69" s="648" t="s">
        <v>460</v>
      </c>
      <c r="C69" s="648"/>
      <c r="D69" s="661" t="s">
        <v>550</v>
      </c>
      <c r="E69" s="661"/>
      <c r="F69" s="661" t="s">
        <v>551</v>
      </c>
      <c r="G69" s="661"/>
      <c r="H69" s="288" t="s">
        <v>552</v>
      </c>
      <c r="I69" s="288" t="s">
        <v>553</v>
      </c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</row>
    <row r="70" spans="2:27" ht="13.5" customHeight="1">
      <c r="B70" s="648"/>
      <c r="C70" s="648"/>
      <c r="D70" s="668"/>
      <c r="E70" s="668"/>
      <c r="F70" s="668"/>
      <c r="G70" s="668"/>
      <c r="H70" s="662" t="s">
        <v>12</v>
      </c>
      <c r="I70" s="662"/>
      <c r="J70" s="305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</row>
    <row r="71" spans="2:27" ht="11.25" customHeight="1">
      <c r="B71" s="646">
        <v>1</v>
      </c>
      <c r="C71" s="668"/>
      <c r="D71" s="647">
        <v>2</v>
      </c>
      <c r="E71" s="647"/>
      <c r="F71" s="647">
        <v>3</v>
      </c>
      <c r="G71" s="647"/>
      <c r="H71" s="306">
        <v>4</v>
      </c>
      <c r="I71" s="306">
        <v>5</v>
      </c>
      <c r="J71" s="295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</row>
    <row r="72" spans="2:27" ht="25.5" customHeight="1">
      <c r="B72" s="658" t="s">
        <v>554</v>
      </c>
      <c r="C72" s="658"/>
      <c r="D72" s="666">
        <f>18623091772.1</f>
        <v>18623091772.1</v>
      </c>
      <c r="E72" s="666"/>
      <c r="F72" s="666">
        <f>8086405693.3</f>
        <v>8086405693.3</v>
      </c>
      <c r="G72" s="666"/>
      <c r="H72" s="300"/>
      <c r="I72" s="300"/>
      <c r="J72" s="307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</row>
    <row r="73" spans="2:27" ht="25.5" customHeight="1">
      <c r="B73" s="657" t="s">
        <v>555</v>
      </c>
      <c r="C73" s="658"/>
      <c r="D73" s="644">
        <f>25779073274.8</f>
        <v>25779073274.8</v>
      </c>
      <c r="E73" s="645"/>
      <c r="F73" s="644">
        <f>12514521526.88</f>
        <v>12514521526.88</v>
      </c>
      <c r="G73" s="645"/>
      <c r="H73" s="308">
        <f aca="true" t="shared" si="8" ref="H73:H85">IF($F$73=0,"",100*$F73/$F$73)</f>
        <v>100</v>
      </c>
      <c r="I73" s="300">
        <f aca="true" t="shared" si="9" ref="I73:I94">IF(D73=0,"",100*F73/D73)</f>
        <v>48.54527311155677</v>
      </c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</row>
    <row r="74" spans="2:27" ht="13.5" customHeight="1">
      <c r="B74" s="655" t="s">
        <v>556</v>
      </c>
      <c r="C74" s="655"/>
      <c r="D74" s="673">
        <f>13728891510.62</f>
        <v>13728891510.62</v>
      </c>
      <c r="E74" s="654"/>
      <c r="F74" s="673">
        <f>1114969398.04</f>
        <v>1114969398.04</v>
      </c>
      <c r="G74" s="654"/>
      <c r="H74" s="276">
        <f t="shared" si="8"/>
        <v>8.909404931264469</v>
      </c>
      <c r="I74" s="276">
        <f t="shared" si="9"/>
        <v>8.12133592269641</v>
      </c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</row>
    <row r="75" spans="2:27" ht="45" customHeight="1">
      <c r="B75" s="656" t="s">
        <v>557</v>
      </c>
      <c r="C75" s="656" t="s">
        <v>558</v>
      </c>
      <c r="D75" s="673">
        <f>1704744923.26</f>
        <v>1704744923.26</v>
      </c>
      <c r="E75" s="654"/>
      <c r="F75" s="673">
        <f>543960821.22</f>
        <v>543960821.22</v>
      </c>
      <c r="G75" s="654"/>
      <c r="H75" s="276">
        <f t="shared" si="8"/>
        <v>4.3466369852944355</v>
      </c>
      <c r="I75" s="276">
        <f t="shared" si="9"/>
        <v>31.90863417735121</v>
      </c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</row>
    <row r="76" spans="2:27" ht="13.5" customHeight="1">
      <c r="B76" s="655" t="s">
        <v>559</v>
      </c>
      <c r="C76" s="655" t="s">
        <v>560</v>
      </c>
      <c r="D76" s="673">
        <f>161428617.19</f>
        <v>161428617.19</v>
      </c>
      <c r="E76" s="654"/>
      <c r="F76" s="673">
        <f>19123557.1</f>
        <v>19123557.1</v>
      </c>
      <c r="G76" s="654"/>
      <c r="H76" s="276">
        <f t="shared" si="8"/>
        <v>0.15281093295436365</v>
      </c>
      <c r="I76" s="276">
        <f t="shared" si="9"/>
        <v>11.846447942679056</v>
      </c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</row>
    <row r="77" spans="2:27" ht="13.5" customHeight="1">
      <c r="B77" s="655" t="s">
        <v>561</v>
      </c>
      <c r="C77" s="655" t="s">
        <v>562</v>
      </c>
      <c r="D77" s="673">
        <f>2897842551.35</f>
        <v>2897842551.35</v>
      </c>
      <c r="E77" s="654"/>
      <c r="F77" s="673">
        <f>3594306887.43</f>
        <v>3594306887.43</v>
      </c>
      <c r="G77" s="654"/>
      <c r="H77" s="276">
        <f t="shared" si="8"/>
        <v>28.721089173962994</v>
      </c>
      <c r="I77" s="276">
        <f t="shared" si="9"/>
        <v>124.03389154995818</v>
      </c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</row>
    <row r="78" spans="2:27" ht="13.5" customHeight="1">
      <c r="B78" s="656" t="s">
        <v>563</v>
      </c>
      <c r="C78" s="656" t="s">
        <v>564</v>
      </c>
      <c r="D78" s="673">
        <f>1898188994.21</f>
        <v>1898188994.21</v>
      </c>
      <c r="E78" s="654"/>
      <c r="F78" s="673">
        <f>186345675.04</f>
        <v>186345675.04</v>
      </c>
      <c r="G78" s="654"/>
      <c r="H78" s="276">
        <f t="shared" si="8"/>
        <v>1.4890355547333332</v>
      </c>
      <c r="I78" s="276">
        <f t="shared" si="9"/>
        <v>9.817024311509849</v>
      </c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</row>
    <row r="79" spans="2:27" ht="13.5" customHeight="1">
      <c r="B79" s="655" t="s">
        <v>565</v>
      </c>
      <c r="C79" s="655" t="s">
        <v>566</v>
      </c>
      <c r="D79" s="673">
        <f>81108996</f>
        <v>81108996</v>
      </c>
      <c r="E79" s="654"/>
      <c r="F79" s="673">
        <f>3599408.36</f>
        <v>3599408.36</v>
      </c>
      <c r="G79" s="654"/>
      <c r="H79" s="276">
        <f t="shared" si="8"/>
        <v>0.02876185359758912</v>
      </c>
      <c r="I79" s="276">
        <f t="shared" si="9"/>
        <v>4.437742466939179</v>
      </c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</row>
    <row r="80" spans="2:27" ht="45" customHeight="1">
      <c r="B80" s="656" t="s">
        <v>557</v>
      </c>
      <c r="C80" s="656" t="s">
        <v>558</v>
      </c>
      <c r="D80" s="673">
        <f>8852740</f>
        <v>8852740</v>
      </c>
      <c r="E80" s="654"/>
      <c r="F80" s="673">
        <f>0</f>
        <v>0</v>
      </c>
      <c r="G80" s="654"/>
      <c r="H80" s="276">
        <f t="shared" si="8"/>
        <v>0</v>
      </c>
      <c r="I80" s="276">
        <f t="shared" si="9"/>
        <v>0</v>
      </c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</row>
    <row r="81" spans="2:27" ht="22.5" customHeight="1">
      <c r="B81" s="655" t="s">
        <v>567</v>
      </c>
      <c r="C81" s="655" t="s">
        <v>568</v>
      </c>
      <c r="D81" s="673">
        <f>2832742189</f>
        <v>2832742189</v>
      </c>
      <c r="E81" s="654"/>
      <c r="F81" s="673">
        <f>77759747.94</f>
        <v>77759747.94</v>
      </c>
      <c r="G81" s="654"/>
      <c r="H81" s="276">
        <f t="shared" si="8"/>
        <v>0.6213561403284934</v>
      </c>
      <c r="I81" s="276">
        <f t="shared" si="9"/>
        <v>2.7450344137194618</v>
      </c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</row>
    <row r="82" spans="2:27" ht="45" customHeight="1">
      <c r="B82" s="656" t="s">
        <v>557</v>
      </c>
      <c r="C82" s="656" t="s">
        <v>558</v>
      </c>
      <c r="D82" s="673">
        <f>19444845</f>
        <v>19444845</v>
      </c>
      <c r="E82" s="654"/>
      <c r="F82" s="673">
        <f>3216414.2</f>
        <v>3216414.2</v>
      </c>
      <c r="G82" s="654"/>
      <c r="H82" s="276">
        <f t="shared" si="8"/>
        <v>0.025701455649674253</v>
      </c>
      <c r="I82" s="276">
        <f t="shared" si="9"/>
        <v>16.54121799376647</v>
      </c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</row>
    <row r="83" spans="2:27" ht="13.5" customHeight="1">
      <c r="B83" s="655" t="s">
        <v>569</v>
      </c>
      <c r="C83" s="655" t="s">
        <v>570</v>
      </c>
      <c r="D83" s="673">
        <f>210179362</f>
        <v>210179362</v>
      </c>
      <c r="E83" s="654"/>
      <c r="F83" s="673">
        <f>54754973.84</f>
        <v>54754973.84</v>
      </c>
      <c r="G83" s="654"/>
      <c r="H83" s="276">
        <f t="shared" si="8"/>
        <v>0.43753150068415747</v>
      </c>
      <c r="I83" s="276">
        <f t="shared" si="9"/>
        <v>26.051546316902417</v>
      </c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</row>
    <row r="84" spans="2:27" ht="13.5" customHeight="1">
      <c r="B84" s="655" t="s">
        <v>571</v>
      </c>
      <c r="C84" s="655" t="s">
        <v>572</v>
      </c>
      <c r="D84" s="673">
        <f>5866880048.64</f>
        <v>5866880048.64</v>
      </c>
      <c r="E84" s="654"/>
      <c r="F84" s="673">
        <f>7650007554.17</f>
        <v>7650007554.17</v>
      </c>
      <c r="G84" s="654"/>
      <c r="H84" s="276">
        <f t="shared" si="8"/>
        <v>61.12904546720794</v>
      </c>
      <c r="I84" s="276">
        <f t="shared" si="9"/>
        <v>130.39311338815162</v>
      </c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</row>
    <row r="85" spans="2:27" ht="13.5" customHeight="1">
      <c r="B85" s="656" t="s">
        <v>563</v>
      </c>
      <c r="C85" s="656" t="s">
        <v>564</v>
      </c>
      <c r="D85" s="673">
        <f>3786324645.42</f>
        <v>3786324645.42</v>
      </c>
      <c r="E85" s="654"/>
      <c r="F85" s="673">
        <f>572438927.51</f>
        <v>572438927.51</v>
      </c>
      <c r="G85" s="654"/>
      <c r="H85" s="276">
        <f t="shared" si="8"/>
        <v>4.574197473554668</v>
      </c>
      <c r="I85" s="276">
        <f t="shared" si="9"/>
        <v>15.11859074742657</v>
      </c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</row>
    <row r="86" spans="2:27" ht="25.5" customHeight="1">
      <c r="B86" s="657" t="s">
        <v>573</v>
      </c>
      <c r="C86" s="658" t="s">
        <v>574</v>
      </c>
      <c r="D86" s="644">
        <f>7155981502.7</f>
        <v>7155981502.7</v>
      </c>
      <c r="E86" s="645"/>
      <c r="F86" s="644">
        <f>4428115833.58</f>
        <v>4428115833.58</v>
      </c>
      <c r="G86" s="645"/>
      <c r="H86" s="308">
        <f aca="true" t="shared" si="10" ref="H86:H94">IF($F$86=0,"",100*$F86/$F$86)</f>
        <v>100</v>
      </c>
      <c r="I86" s="300">
        <f t="shared" si="9"/>
        <v>61.879922857671474</v>
      </c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</row>
    <row r="87" spans="2:27" ht="13.5" customHeight="1">
      <c r="B87" s="655" t="s">
        <v>575</v>
      </c>
      <c r="C87" s="655" t="s">
        <v>576</v>
      </c>
      <c r="D87" s="673">
        <f>5998179839.57</f>
        <v>5998179839.57</v>
      </c>
      <c r="E87" s="654"/>
      <c r="F87" s="673">
        <f>3171420316</f>
        <v>3171420316</v>
      </c>
      <c r="G87" s="654"/>
      <c r="H87" s="276">
        <f t="shared" si="10"/>
        <v>71.62008482140362</v>
      </c>
      <c r="I87" s="276">
        <f t="shared" si="9"/>
        <v>52.87304483733776</v>
      </c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</row>
    <row r="88" spans="2:27" ht="45" customHeight="1">
      <c r="B88" s="656" t="s">
        <v>577</v>
      </c>
      <c r="C88" s="656" t="s">
        <v>558</v>
      </c>
      <c r="D88" s="673">
        <f>1650340352.12</f>
        <v>1650340352.12</v>
      </c>
      <c r="E88" s="654"/>
      <c r="F88" s="673">
        <f>932484431.5</f>
        <v>932484431.5</v>
      </c>
      <c r="G88" s="654"/>
      <c r="H88" s="276">
        <f t="shared" si="10"/>
        <v>21.05826646242255</v>
      </c>
      <c r="I88" s="276">
        <f t="shared" si="9"/>
        <v>56.502552961402536</v>
      </c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</row>
    <row r="89" spans="2:27" ht="13.5" customHeight="1">
      <c r="B89" s="655" t="s">
        <v>578</v>
      </c>
      <c r="C89" s="655" t="s">
        <v>579</v>
      </c>
      <c r="D89" s="673">
        <f>149100280.52</f>
        <v>149100280.52</v>
      </c>
      <c r="E89" s="654"/>
      <c r="F89" s="673">
        <f>157336693.17</f>
        <v>157336693.17</v>
      </c>
      <c r="G89" s="654"/>
      <c r="H89" s="276">
        <f t="shared" si="10"/>
        <v>3.553129572105117</v>
      </c>
      <c r="I89" s="276">
        <f t="shared" si="9"/>
        <v>105.52407589125572</v>
      </c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</row>
    <row r="90" spans="2:27" ht="13.5" customHeight="1">
      <c r="B90" s="655" t="s">
        <v>580</v>
      </c>
      <c r="C90" s="655" t="s">
        <v>581</v>
      </c>
      <c r="D90" s="673">
        <f>42043000</f>
        <v>42043000</v>
      </c>
      <c r="E90" s="654"/>
      <c r="F90" s="673">
        <f>27450000</f>
        <v>27450000</v>
      </c>
      <c r="G90" s="654"/>
      <c r="H90" s="276">
        <f t="shared" si="10"/>
        <v>0.6199024829440266</v>
      </c>
      <c r="I90" s="276">
        <f t="shared" si="9"/>
        <v>65.29029802820921</v>
      </c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</row>
    <row r="91" spans="2:27" ht="45" customHeight="1">
      <c r="B91" s="656" t="s">
        <v>577</v>
      </c>
      <c r="C91" s="656" t="s">
        <v>558</v>
      </c>
      <c r="D91" s="673">
        <f>0</f>
        <v>0</v>
      </c>
      <c r="E91" s="654"/>
      <c r="F91" s="673">
        <f>0</f>
        <v>0</v>
      </c>
      <c r="G91" s="654"/>
      <c r="H91" s="276">
        <f t="shared" si="10"/>
        <v>0</v>
      </c>
      <c r="I91" s="276">
        <f t="shared" si="9"/>
      </c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</row>
    <row r="92" spans="2:27" ht="13.5" customHeight="1">
      <c r="B92" s="655" t="s">
        <v>582</v>
      </c>
      <c r="C92" s="655" t="s">
        <v>583</v>
      </c>
      <c r="D92" s="673">
        <f>574639800</f>
        <v>574639800</v>
      </c>
      <c r="E92" s="654"/>
      <c r="F92" s="673">
        <f>118452100</f>
        <v>118452100</v>
      </c>
      <c r="G92" s="654"/>
      <c r="H92" s="276">
        <f t="shared" si="10"/>
        <v>2.6750000327844856</v>
      </c>
      <c r="I92" s="276">
        <f t="shared" si="9"/>
        <v>20.613278091771576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</row>
    <row r="93" spans="2:27" ht="45" customHeight="1">
      <c r="B93" s="656" t="s">
        <v>577</v>
      </c>
      <c r="C93" s="656" t="s">
        <v>558</v>
      </c>
      <c r="D93" s="673">
        <f>7100000</f>
        <v>7100000</v>
      </c>
      <c r="E93" s="654"/>
      <c r="F93" s="673">
        <f>3000000</f>
        <v>3000000</v>
      </c>
      <c r="G93" s="654"/>
      <c r="H93" s="276">
        <f t="shared" si="10"/>
        <v>0.06774890523978433</v>
      </c>
      <c r="I93" s="276">
        <f t="shared" si="9"/>
        <v>42.25352112676056</v>
      </c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</row>
    <row r="94" spans="2:27" ht="13.5" customHeight="1">
      <c r="B94" s="655" t="s">
        <v>584</v>
      </c>
      <c r="C94" s="655" t="s">
        <v>585</v>
      </c>
      <c r="D94" s="673">
        <f>392018582.61</f>
        <v>392018582.61</v>
      </c>
      <c r="E94" s="654"/>
      <c r="F94" s="673">
        <f>953456724.41</f>
        <v>953456724.41</v>
      </c>
      <c r="G94" s="654"/>
      <c r="H94" s="276">
        <f t="shared" si="10"/>
        <v>21.53188309076275</v>
      </c>
      <c r="I94" s="276">
        <f t="shared" si="9"/>
        <v>243.2172266074813</v>
      </c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</row>
    <row r="95" spans="2:27" ht="12.75"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</row>
    <row r="96" spans="2:27" ht="12.75"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</row>
    <row r="97" spans="2:27" ht="12.75" hidden="1">
      <c r="B97" s="309" t="s">
        <v>586</v>
      </c>
      <c r="C97" s="309">
        <f>2</f>
        <v>2</v>
      </c>
      <c r="D97" s="309" t="s">
        <v>697</v>
      </c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</row>
    <row r="98" spans="2:27" ht="12.75" hidden="1">
      <c r="B98" s="309" t="s">
        <v>587</v>
      </c>
      <c r="C98" s="309">
        <f>2008</f>
        <v>2008</v>
      </c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</row>
    <row r="99" spans="2:27" ht="12.75" hidden="1">
      <c r="B99" s="309" t="s">
        <v>588</v>
      </c>
      <c r="C99" s="310" t="str">
        <f>"Aug 18 2008 12:00AM"</f>
        <v>Aug 18 2008 12:00AM</v>
      </c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</row>
  </sheetData>
  <sheetProtection/>
  <mergeCells count="108">
    <mergeCell ref="K4:M4"/>
    <mergeCell ref="C4:J4"/>
    <mergeCell ref="B42:M42"/>
    <mergeCell ref="C47:J47"/>
    <mergeCell ref="C44:C46"/>
    <mergeCell ref="B44:B47"/>
    <mergeCell ref="K44:K46"/>
    <mergeCell ref="K47:L47"/>
    <mergeCell ref="B71:C71"/>
    <mergeCell ref="D71:E71"/>
    <mergeCell ref="F71:G71"/>
    <mergeCell ref="B69:C70"/>
    <mergeCell ref="D69:E69"/>
    <mergeCell ref="F69:G69"/>
    <mergeCell ref="D70:G70"/>
    <mergeCell ref="B72:C72"/>
    <mergeCell ref="D72:E72"/>
    <mergeCell ref="F72:G72"/>
    <mergeCell ref="B73:C73"/>
    <mergeCell ref="D73:E73"/>
    <mergeCell ref="F73:G73"/>
    <mergeCell ref="B76:C76"/>
    <mergeCell ref="D76:E76"/>
    <mergeCell ref="F76:G76"/>
    <mergeCell ref="B74:C74"/>
    <mergeCell ref="D74:E74"/>
    <mergeCell ref="F74:G74"/>
    <mergeCell ref="B75:C75"/>
    <mergeCell ref="D75:E75"/>
    <mergeCell ref="F75:G75"/>
    <mergeCell ref="B77:C77"/>
    <mergeCell ref="D77:E77"/>
    <mergeCell ref="F77:G77"/>
    <mergeCell ref="B78:C78"/>
    <mergeCell ref="D78:E78"/>
    <mergeCell ref="F78:G78"/>
    <mergeCell ref="B79:C79"/>
    <mergeCell ref="D79:E79"/>
    <mergeCell ref="F79:G79"/>
    <mergeCell ref="B80:C80"/>
    <mergeCell ref="D80:E80"/>
    <mergeCell ref="F80:G80"/>
    <mergeCell ref="B81:C81"/>
    <mergeCell ref="D81:E81"/>
    <mergeCell ref="F81:G81"/>
    <mergeCell ref="B82:C82"/>
    <mergeCell ref="D82:E82"/>
    <mergeCell ref="F82:G82"/>
    <mergeCell ref="B83:C83"/>
    <mergeCell ref="D83:E83"/>
    <mergeCell ref="F83:G83"/>
    <mergeCell ref="B84:C84"/>
    <mergeCell ref="D84:E84"/>
    <mergeCell ref="F84:G84"/>
    <mergeCell ref="B85:C85"/>
    <mergeCell ref="D85:E85"/>
    <mergeCell ref="F85:G85"/>
    <mergeCell ref="B86:C86"/>
    <mergeCell ref="D86:E86"/>
    <mergeCell ref="F86:G86"/>
    <mergeCell ref="B89:C89"/>
    <mergeCell ref="D89:E89"/>
    <mergeCell ref="F89:G89"/>
    <mergeCell ref="B87:C87"/>
    <mergeCell ref="D87:E87"/>
    <mergeCell ref="F87:G87"/>
    <mergeCell ref="B88:C88"/>
    <mergeCell ref="D88:E88"/>
    <mergeCell ref="F88:G88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3:C93"/>
    <mergeCell ref="D93:E93"/>
    <mergeCell ref="F93:G93"/>
    <mergeCell ref="B90:C90"/>
    <mergeCell ref="D90:E90"/>
    <mergeCell ref="F90:G90"/>
    <mergeCell ref="B1:M1"/>
    <mergeCell ref="B67:M67"/>
    <mergeCell ref="I44:J46"/>
    <mergeCell ref="D44:D46"/>
    <mergeCell ref="E44:E46"/>
    <mergeCell ref="F45:F46"/>
    <mergeCell ref="F44:H44"/>
    <mergeCell ref="G45:H45"/>
    <mergeCell ref="L44:L46"/>
    <mergeCell ref="B3:B4"/>
    <mergeCell ref="I49:J49"/>
    <mergeCell ref="I50:J50"/>
    <mergeCell ref="I51:J51"/>
    <mergeCell ref="I52:J52"/>
    <mergeCell ref="I48:J48"/>
    <mergeCell ref="H70:I70"/>
    <mergeCell ref="I57:J57"/>
    <mergeCell ref="I58:J58"/>
    <mergeCell ref="I59:J59"/>
    <mergeCell ref="I60:J60"/>
    <mergeCell ref="I54:J54"/>
    <mergeCell ref="I53:J53"/>
    <mergeCell ref="I55:J55"/>
    <mergeCell ref="I56:J56"/>
  </mergeCells>
  <printOptions/>
  <pageMargins left="0.18" right="0.18" top="0.5511811023622047" bottom="0.3937007874015748" header="0.31496062992125984" footer="0.1968503937007874"/>
  <pageSetup horizontalDpi="600" verticalDpi="600" orientation="landscape" paperSize="9" scale="95" r:id="rId3"/>
  <headerFooter alignWithMargins="0">
    <oddFooter>&amp;L&amp;"Arial CE,Kursywa"&amp;9&amp;D&amp;R&amp;9strona &amp;P z 5</oddFooter>
  </headerFooter>
  <rowBreaks count="3" manualBreakCount="3">
    <brk id="21" max="255" man="1"/>
    <brk id="41" max="255" man="1"/>
    <brk id="8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Q51"/>
  <sheetViews>
    <sheetView showGridLines="0" zoomScaleSheetLayoutView="100" workbookViewId="0" topLeftCell="A23">
      <selection activeCell="B43" sqref="B43"/>
    </sheetView>
  </sheetViews>
  <sheetFormatPr defaultColWidth="9.140625" defaultRowHeight="13.5" customHeight="1"/>
  <cols>
    <col min="1" max="1" width="22.57421875" style="313" customWidth="1"/>
    <col min="2" max="2" width="12.140625" style="313" customWidth="1"/>
    <col min="3" max="3" width="12.57421875" style="313" customWidth="1"/>
    <col min="4" max="6" width="11.421875" style="313" customWidth="1"/>
    <col min="7" max="7" width="12.140625" style="313" customWidth="1"/>
    <col min="8" max="8" width="12.00390625" style="313" customWidth="1"/>
    <col min="9" max="9" width="11.7109375" style="313" customWidth="1"/>
    <col min="10" max="10" width="12.8515625" style="313" customWidth="1"/>
    <col min="11" max="11" width="12.140625" style="313" customWidth="1"/>
    <col min="12" max="12" width="11.421875" style="313" customWidth="1"/>
    <col min="13" max="13" width="12.00390625" style="313" customWidth="1"/>
    <col min="14" max="14" width="10.28125" style="313" customWidth="1"/>
    <col min="15" max="16" width="11.28125" style="313" bestFit="1" customWidth="1"/>
    <col min="17" max="17" width="10.140625" style="313" bestFit="1" customWidth="1"/>
    <col min="18" max="16384" width="9.140625" style="313" customWidth="1"/>
  </cols>
  <sheetData>
    <row r="1" spans="1:17" ht="75" customHeight="1">
      <c r="A1" s="637" t="str">
        <f>CONCATENATE("Informacja z wykonania budżetów jednostek samorządu terytorialnego za ",$C$49," ",$B$50," roku")</f>
        <v>Informacja z wykonania budżetów jednostek samorządu terytorialnego za 2 kwartały 2008 roku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327"/>
      <c r="O1" s="327"/>
      <c r="P1" s="327"/>
      <c r="Q1" s="327"/>
    </row>
    <row r="2" spans="1:17" ht="13.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327"/>
      <c r="O2" s="327"/>
      <c r="P2" s="327"/>
      <c r="Q2" s="327"/>
    </row>
    <row r="3" spans="1:17" ht="13.5" customHeight="1">
      <c r="A3" s="639" t="s">
        <v>604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327"/>
      <c r="O3" s="327"/>
      <c r="P3" s="327"/>
      <c r="Q3" s="327"/>
    </row>
    <row r="4" spans="1:17" ht="13.5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spans="1:17" ht="13.5" customHeight="1">
      <c r="A5" s="327"/>
      <c r="B5" s="314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328"/>
      <c r="O5" s="328"/>
      <c r="P5" s="328"/>
      <c r="Q5" s="328"/>
    </row>
    <row r="6" spans="1:17" ht="13.5" customHeight="1">
      <c r="A6" s="641" t="s">
        <v>460</v>
      </c>
      <c r="B6" s="640" t="s">
        <v>605</v>
      </c>
      <c r="C6" s="628" t="s">
        <v>606</v>
      </c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30"/>
      <c r="O6" s="628" t="s">
        <v>607</v>
      </c>
      <c r="P6" s="629"/>
      <c r="Q6" s="630"/>
    </row>
    <row r="7" spans="1:17" ht="13.5" customHeight="1">
      <c r="A7" s="642"/>
      <c r="B7" s="636"/>
      <c r="C7" s="634" t="s">
        <v>608</v>
      </c>
      <c r="D7" s="634" t="s">
        <v>609</v>
      </c>
      <c r="E7" s="634" t="s">
        <v>610</v>
      </c>
      <c r="F7" s="634" t="s">
        <v>611</v>
      </c>
      <c r="G7" s="634" t="s">
        <v>612</v>
      </c>
      <c r="H7" s="634" t="s">
        <v>613</v>
      </c>
      <c r="I7" s="652" t="s">
        <v>614</v>
      </c>
      <c r="J7" s="634" t="s">
        <v>615</v>
      </c>
      <c r="K7" s="634" t="s">
        <v>616</v>
      </c>
      <c r="L7" s="634" t="s">
        <v>617</v>
      </c>
      <c r="M7" s="634" t="s">
        <v>618</v>
      </c>
      <c r="N7" s="636" t="s">
        <v>619</v>
      </c>
      <c r="O7" s="635" t="s">
        <v>620</v>
      </c>
      <c r="P7" s="635" t="s">
        <v>621</v>
      </c>
      <c r="Q7" s="635" t="s">
        <v>622</v>
      </c>
    </row>
    <row r="8" spans="1:17" ht="13.5" customHeight="1">
      <c r="A8" s="642"/>
      <c r="B8" s="636"/>
      <c r="C8" s="635"/>
      <c r="D8" s="635"/>
      <c r="E8" s="635"/>
      <c r="F8" s="635"/>
      <c r="G8" s="635"/>
      <c r="H8" s="635"/>
      <c r="I8" s="652"/>
      <c r="J8" s="635"/>
      <c r="K8" s="635"/>
      <c r="L8" s="635"/>
      <c r="M8" s="635"/>
      <c r="N8" s="636"/>
      <c r="O8" s="635"/>
      <c r="P8" s="635"/>
      <c r="Q8" s="635"/>
    </row>
    <row r="9" spans="1:17" ht="13.5" customHeight="1">
      <c r="A9" s="642"/>
      <c r="B9" s="636"/>
      <c r="C9" s="635"/>
      <c r="D9" s="635"/>
      <c r="E9" s="635"/>
      <c r="F9" s="635"/>
      <c r="G9" s="635"/>
      <c r="H9" s="635"/>
      <c r="I9" s="652"/>
      <c r="J9" s="635"/>
      <c r="K9" s="635"/>
      <c r="L9" s="635"/>
      <c r="M9" s="635"/>
      <c r="N9" s="636"/>
      <c r="O9" s="635"/>
      <c r="P9" s="635"/>
      <c r="Q9" s="635"/>
    </row>
    <row r="10" spans="1:17" ht="11.25" customHeight="1">
      <c r="A10" s="642"/>
      <c r="B10" s="636"/>
      <c r="C10" s="635"/>
      <c r="D10" s="635"/>
      <c r="E10" s="635"/>
      <c r="F10" s="635"/>
      <c r="G10" s="635"/>
      <c r="H10" s="635"/>
      <c r="I10" s="652"/>
      <c r="J10" s="635"/>
      <c r="K10" s="635"/>
      <c r="L10" s="635"/>
      <c r="M10" s="635"/>
      <c r="N10" s="636"/>
      <c r="O10" s="635"/>
      <c r="P10" s="635"/>
      <c r="Q10" s="635"/>
    </row>
    <row r="11" spans="1:17" ht="11.25" customHeight="1">
      <c r="A11" s="643"/>
      <c r="B11" s="634"/>
      <c r="C11" s="635"/>
      <c r="D11" s="635"/>
      <c r="E11" s="635"/>
      <c r="F11" s="635"/>
      <c r="G11" s="635"/>
      <c r="H11" s="635"/>
      <c r="I11" s="653"/>
      <c r="J11" s="635"/>
      <c r="K11" s="635"/>
      <c r="L11" s="635"/>
      <c r="M11" s="635"/>
      <c r="N11" s="634"/>
      <c r="O11" s="635"/>
      <c r="P11" s="635"/>
      <c r="Q11" s="635"/>
    </row>
    <row r="12" spans="1:17" ht="13.5" customHeight="1">
      <c r="A12" s="312">
        <v>1</v>
      </c>
      <c r="B12" s="312">
        <v>2</v>
      </c>
      <c r="C12" s="312">
        <v>3</v>
      </c>
      <c r="D12" s="312">
        <v>4</v>
      </c>
      <c r="E12" s="312">
        <v>5</v>
      </c>
      <c r="F12" s="312">
        <v>6</v>
      </c>
      <c r="G12" s="312">
        <v>7</v>
      </c>
      <c r="H12" s="312">
        <v>8</v>
      </c>
      <c r="I12" s="312">
        <v>9</v>
      </c>
      <c r="J12" s="312">
        <v>10</v>
      </c>
      <c r="K12" s="312">
        <v>11</v>
      </c>
      <c r="L12" s="312">
        <v>12</v>
      </c>
      <c r="M12" s="312">
        <v>13</v>
      </c>
      <c r="N12" s="312">
        <v>14</v>
      </c>
      <c r="O12" s="312">
        <v>15</v>
      </c>
      <c r="P12" s="312">
        <v>16</v>
      </c>
      <c r="Q12" s="312">
        <v>17</v>
      </c>
    </row>
    <row r="13" spans="1:17" ht="30" customHeight="1">
      <c r="A13" s="329" t="s">
        <v>623</v>
      </c>
      <c r="B13" s="330">
        <f>23623134106.09</f>
        <v>23623134106.09</v>
      </c>
      <c r="C13" s="330">
        <f>20753981450.58</f>
        <v>20753981450.58</v>
      </c>
      <c r="D13" s="330">
        <f>4005614101.98</f>
        <v>4005614101.98</v>
      </c>
      <c r="E13" s="330">
        <f>875230074.61</f>
        <v>875230074.61</v>
      </c>
      <c r="F13" s="330">
        <f>1400912981.54</f>
        <v>1400912981.54</v>
      </c>
      <c r="G13" s="330">
        <f>1716639390.9</f>
        <v>1716639390.9</v>
      </c>
      <c r="H13" s="330">
        <f>12831654.93</f>
        <v>12831654.93</v>
      </c>
      <c r="I13" s="330">
        <f>54442470.89</f>
        <v>54442470.89</v>
      </c>
      <c r="J13" s="330">
        <f>16056100897.93</f>
        <v>16056100897.93</v>
      </c>
      <c r="K13" s="330">
        <f>404111153.15</f>
        <v>404111153.15</v>
      </c>
      <c r="L13" s="330">
        <f>130859590.95</f>
        <v>130859590.95</v>
      </c>
      <c r="M13" s="330">
        <f>72233682.78</f>
        <v>72233682.78</v>
      </c>
      <c r="N13" s="330">
        <f>30619552.9</f>
        <v>30619552.9</v>
      </c>
      <c r="O13" s="330">
        <f>2869152655.51</f>
        <v>2869152655.51</v>
      </c>
      <c r="P13" s="330">
        <f>2532893380.06</f>
        <v>2532893380.06</v>
      </c>
      <c r="Q13" s="330">
        <f>336259275.45</f>
        <v>336259275.45</v>
      </c>
    </row>
    <row r="14" spans="1:17" ht="25.5" customHeight="1">
      <c r="A14" s="316" t="s">
        <v>624</v>
      </c>
      <c r="B14" s="330">
        <f>3394130886.65</f>
        <v>3394130886.65</v>
      </c>
      <c r="C14" s="330">
        <f>3324130886.65</f>
        <v>3324130886.65</v>
      </c>
      <c r="D14" s="330">
        <f>34409699.57</f>
        <v>34409699.57</v>
      </c>
      <c r="E14" s="330">
        <f>5578972.7</f>
        <v>5578972.7</v>
      </c>
      <c r="F14" s="330">
        <f>7308089.27</f>
        <v>7308089.27</v>
      </c>
      <c r="G14" s="330">
        <f>21522637.6</f>
        <v>21522637.6</v>
      </c>
      <c r="H14" s="330">
        <f>0</f>
        <v>0</v>
      </c>
      <c r="I14" s="330">
        <f>7500000</f>
        <v>7500000</v>
      </c>
      <c r="J14" s="330">
        <f>2943738587.08</f>
        <v>2943738587.08</v>
      </c>
      <c r="K14" s="330">
        <f>303810200</f>
        <v>303810200</v>
      </c>
      <c r="L14" s="330">
        <f>0</f>
        <v>0</v>
      </c>
      <c r="M14" s="330">
        <f>33572400</f>
        <v>33572400</v>
      </c>
      <c r="N14" s="330">
        <f>1100000</f>
        <v>1100000</v>
      </c>
      <c r="O14" s="330">
        <f>70000000</f>
        <v>70000000</v>
      </c>
      <c r="P14" s="330">
        <f>70000000</f>
        <v>70000000</v>
      </c>
      <c r="Q14" s="330">
        <f>0</f>
        <v>0</v>
      </c>
    </row>
    <row r="15" spans="1:17" ht="23.25" customHeight="1">
      <c r="A15" s="317" t="s">
        <v>625</v>
      </c>
      <c r="B15" s="330">
        <f>24244884.99</f>
        <v>24244884.99</v>
      </c>
      <c r="C15" s="330">
        <f>24244884.99</f>
        <v>24244884.99</v>
      </c>
      <c r="D15" s="330">
        <f>0</f>
        <v>0</v>
      </c>
      <c r="E15" s="330">
        <f>0</f>
        <v>0</v>
      </c>
      <c r="F15" s="330">
        <f>0</f>
        <v>0</v>
      </c>
      <c r="G15" s="330">
        <f>0</f>
        <v>0</v>
      </c>
      <c r="H15" s="330">
        <f>0</f>
        <v>0</v>
      </c>
      <c r="I15" s="330">
        <f>0</f>
        <v>0</v>
      </c>
      <c r="J15" s="330">
        <f>24244884.99</f>
        <v>24244884.99</v>
      </c>
      <c r="K15" s="330">
        <f>0</f>
        <v>0</v>
      </c>
      <c r="L15" s="330">
        <f>0</f>
        <v>0</v>
      </c>
      <c r="M15" s="330">
        <f>0</f>
        <v>0</v>
      </c>
      <c r="N15" s="330">
        <f>0</f>
        <v>0</v>
      </c>
      <c r="O15" s="330">
        <f>0</f>
        <v>0</v>
      </c>
      <c r="P15" s="330">
        <f>0</f>
        <v>0</v>
      </c>
      <c r="Q15" s="330">
        <f>0</f>
        <v>0</v>
      </c>
    </row>
    <row r="16" spans="1:17" ht="22.5" customHeight="1">
      <c r="A16" s="317" t="s">
        <v>626</v>
      </c>
      <c r="B16" s="330">
        <f>3369886001.66</f>
        <v>3369886001.66</v>
      </c>
      <c r="C16" s="330">
        <f>3299886001.66</f>
        <v>3299886001.66</v>
      </c>
      <c r="D16" s="330">
        <f>34409699.57</f>
        <v>34409699.57</v>
      </c>
      <c r="E16" s="330">
        <f>5578972.7</f>
        <v>5578972.7</v>
      </c>
      <c r="F16" s="330">
        <f>7308089.27</f>
        <v>7308089.27</v>
      </c>
      <c r="G16" s="330">
        <f>21522637.6</f>
        <v>21522637.6</v>
      </c>
      <c r="H16" s="330">
        <f>0</f>
        <v>0</v>
      </c>
      <c r="I16" s="330">
        <f>7500000</f>
        <v>7500000</v>
      </c>
      <c r="J16" s="330">
        <f>2919493702.09</f>
        <v>2919493702.09</v>
      </c>
      <c r="K16" s="330">
        <f>303810200</f>
        <v>303810200</v>
      </c>
      <c r="L16" s="330">
        <f>0</f>
        <v>0</v>
      </c>
      <c r="M16" s="330">
        <f>33572400</f>
        <v>33572400</v>
      </c>
      <c r="N16" s="330">
        <f>1100000</f>
        <v>1100000</v>
      </c>
      <c r="O16" s="330">
        <f>70000000</f>
        <v>70000000</v>
      </c>
      <c r="P16" s="330">
        <f>70000000</f>
        <v>70000000</v>
      </c>
      <c r="Q16" s="330">
        <f>0</f>
        <v>0</v>
      </c>
    </row>
    <row r="17" spans="1:17" ht="21" customHeight="1">
      <c r="A17" s="318" t="s">
        <v>627</v>
      </c>
      <c r="B17" s="330">
        <f>20015492924.22</f>
        <v>20015492924.22</v>
      </c>
      <c r="C17" s="330">
        <f>17216340268.71</f>
        <v>17216340268.71</v>
      </c>
      <c r="D17" s="330">
        <f>3927340098.34</f>
        <v>3927340098.34</v>
      </c>
      <c r="E17" s="330">
        <f>864170342.68</f>
        <v>864170342.68</v>
      </c>
      <c r="F17" s="330">
        <f>1389481055.72</f>
        <v>1389481055.72</v>
      </c>
      <c r="G17" s="330">
        <f>1666557505.27</f>
        <v>1666557505.27</v>
      </c>
      <c r="H17" s="330">
        <f>7131194.67</f>
        <v>7131194.67</v>
      </c>
      <c r="I17" s="330">
        <f>46899935.89</f>
        <v>46899935.89</v>
      </c>
      <c r="J17" s="330">
        <f>13111372843.34</f>
        <v>13111372843.34</v>
      </c>
      <c r="K17" s="330">
        <f>97923342.35</f>
        <v>97923342.35</v>
      </c>
      <c r="L17" s="330">
        <f>17170529.41</f>
        <v>17170529.41</v>
      </c>
      <c r="M17" s="330">
        <f>19208.04</f>
        <v>19208.04</v>
      </c>
      <c r="N17" s="330">
        <f>15614311.34</f>
        <v>15614311.34</v>
      </c>
      <c r="O17" s="330">
        <f>2799152655.51</f>
        <v>2799152655.51</v>
      </c>
      <c r="P17" s="330">
        <f>2462893380.06</f>
        <v>2462893380.06</v>
      </c>
      <c r="Q17" s="330">
        <f>336259275.45</f>
        <v>336259275.45</v>
      </c>
    </row>
    <row r="18" spans="1:17" ht="23.25" customHeight="1">
      <c r="A18" s="319" t="s">
        <v>628</v>
      </c>
      <c r="B18" s="330">
        <f>536804328.1</f>
        <v>536804328.1</v>
      </c>
      <c r="C18" s="330">
        <f>536804328.1</f>
        <v>536804328.1</v>
      </c>
      <c r="D18" s="330">
        <f>295403599.27</f>
        <v>295403599.27</v>
      </c>
      <c r="E18" s="330">
        <f>257223552.58</f>
        <v>257223552.58</v>
      </c>
      <c r="F18" s="330">
        <f>15698173.67</f>
        <v>15698173.67</v>
      </c>
      <c r="G18" s="330">
        <f>21671861.59</f>
        <v>21671861.59</v>
      </c>
      <c r="H18" s="330">
        <f>810011.43</f>
        <v>810011.43</v>
      </c>
      <c r="I18" s="330">
        <f>17240165.34</f>
        <v>17240165.34</v>
      </c>
      <c r="J18" s="330">
        <f>223099688.75</f>
        <v>223099688.75</v>
      </c>
      <c r="K18" s="330">
        <f>1041666.7</f>
        <v>1041666.7</v>
      </c>
      <c r="L18" s="330">
        <f>0</f>
        <v>0</v>
      </c>
      <c r="M18" s="330">
        <f>19208.04</f>
        <v>19208.04</v>
      </c>
      <c r="N18" s="330">
        <f>0</f>
        <v>0</v>
      </c>
      <c r="O18" s="330">
        <f>0</f>
        <v>0</v>
      </c>
      <c r="P18" s="330">
        <f>0</f>
        <v>0</v>
      </c>
      <c r="Q18" s="330">
        <f>0</f>
        <v>0</v>
      </c>
    </row>
    <row r="19" spans="1:17" ht="23.25" customHeight="1">
      <c r="A19" s="320" t="s">
        <v>629</v>
      </c>
      <c r="B19" s="330">
        <f>19478688596.12</f>
        <v>19478688596.12</v>
      </c>
      <c r="C19" s="330">
        <f>16679535940.61</f>
        <v>16679535940.61</v>
      </c>
      <c r="D19" s="330">
        <f>3631936499.07</f>
        <v>3631936499.07</v>
      </c>
      <c r="E19" s="330">
        <f>606946790.1</f>
        <v>606946790.1</v>
      </c>
      <c r="F19" s="330">
        <f>1373782882.05</f>
        <v>1373782882.05</v>
      </c>
      <c r="G19" s="330">
        <f>1644885643.68</f>
        <v>1644885643.68</v>
      </c>
      <c r="H19" s="330">
        <f>6321183.24</f>
        <v>6321183.24</v>
      </c>
      <c r="I19" s="330">
        <f>29659770.55</f>
        <v>29659770.55</v>
      </c>
      <c r="J19" s="330">
        <f>12888273154.59</f>
        <v>12888273154.59</v>
      </c>
      <c r="K19" s="330">
        <f>96881675.65</f>
        <v>96881675.65</v>
      </c>
      <c r="L19" s="330">
        <f>17170529.41</f>
        <v>17170529.41</v>
      </c>
      <c r="M19" s="330">
        <f>0</f>
        <v>0</v>
      </c>
      <c r="N19" s="330">
        <f>15614311.34</f>
        <v>15614311.34</v>
      </c>
      <c r="O19" s="330">
        <f>2799152655.51</f>
        <v>2799152655.51</v>
      </c>
      <c r="P19" s="330">
        <f>2462893380.06</f>
        <v>2462893380.06</v>
      </c>
      <c r="Q19" s="330">
        <f>336259275.45</f>
        <v>336259275.45</v>
      </c>
    </row>
    <row r="20" spans="1:17" ht="24" customHeight="1">
      <c r="A20" s="321" t="s">
        <v>630</v>
      </c>
      <c r="B20" s="330">
        <f>3503018.94</f>
        <v>3503018.94</v>
      </c>
      <c r="C20" s="330">
        <f>3503018.94</f>
        <v>3503018.94</v>
      </c>
      <c r="D20" s="330">
        <f>2178491.23</f>
        <v>2178491.23</v>
      </c>
      <c r="E20" s="330">
        <f>270548.88</f>
        <v>270548.88</v>
      </c>
      <c r="F20" s="330">
        <f>0</f>
        <v>0</v>
      </c>
      <c r="G20" s="330">
        <f>1907942.35</f>
        <v>1907942.35</v>
      </c>
      <c r="H20" s="330">
        <f>0</f>
        <v>0</v>
      </c>
      <c r="I20" s="330">
        <f>42535</f>
        <v>42535</v>
      </c>
      <c r="J20" s="330">
        <f>950785</f>
        <v>950785</v>
      </c>
      <c r="K20" s="330">
        <f>0</f>
        <v>0</v>
      </c>
      <c r="L20" s="330">
        <f>208968.62</f>
        <v>208968.62</v>
      </c>
      <c r="M20" s="330">
        <f>122239.09</f>
        <v>122239.09</v>
      </c>
      <c r="N20" s="330">
        <f>0</f>
        <v>0</v>
      </c>
      <c r="O20" s="330">
        <f>0</f>
        <v>0</v>
      </c>
      <c r="P20" s="330">
        <f>0</f>
        <v>0</v>
      </c>
      <c r="Q20" s="330">
        <f>0</f>
        <v>0</v>
      </c>
    </row>
    <row r="21" spans="1:17" ht="33" customHeight="1">
      <c r="A21" s="316" t="s">
        <v>631</v>
      </c>
      <c r="B21" s="330">
        <f>210007276.28</f>
        <v>210007276.28</v>
      </c>
      <c r="C21" s="330">
        <f>210007276.28</f>
        <v>210007276.28</v>
      </c>
      <c r="D21" s="330">
        <f>41685812.84</f>
        <v>41685812.84</v>
      </c>
      <c r="E21" s="330">
        <f>5210210.35</f>
        <v>5210210.35</v>
      </c>
      <c r="F21" s="330">
        <f>4123836.55</f>
        <v>4123836.55</v>
      </c>
      <c r="G21" s="330">
        <f>26651305.68</f>
        <v>26651305.68</v>
      </c>
      <c r="H21" s="330">
        <f>5700460.26</f>
        <v>5700460.26</v>
      </c>
      <c r="I21" s="330">
        <f>0</f>
        <v>0</v>
      </c>
      <c r="J21" s="330">
        <f>38682.51</f>
        <v>38682.51</v>
      </c>
      <c r="K21" s="330">
        <f>2377610.8</f>
        <v>2377610.8</v>
      </c>
      <c r="L21" s="330">
        <f>113480092.92</f>
        <v>113480092.92</v>
      </c>
      <c r="M21" s="330">
        <f>38519835.65</f>
        <v>38519835.65</v>
      </c>
      <c r="N21" s="330">
        <f>13905241.56</f>
        <v>13905241.56</v>
      </c>
      <c r="O21" s="330">
        <f>0</f>
        <v>0</v>
      </c>
      <c r="P21" s="330">
        <f>0</f>
        <v>0</v>
      </c>
      <c r="Q21" s="330">
        <f>0</f>
        <v>0</v>
      </c>
    </row>
    <row r="22" spans="1:17" ht="23.25" customHeight="1">
      <c r="A22" s="317" t="s">
        <v>632</v>
      </c>
      <c r="B22" s="330">
        <f>168010303.79</f>
        <v>168010303.79</v>
      </c>
      <c r="C22" s="330">
        <f>168010303.79</f>
        <v>168010303.79</v>
      </c>
      <c r="D22" s="330">
        <f>17437960.41</f>
        <v>17437960.41</v>
      </c>
      <c r="E22" s="330">
        <f>1895637.14</f>
        <v>1895637.14</v>
      </c>
      <c r="F22" s="330">
        <f>2591188.21</f>
        <v>2591188.21</v>
      </c>
      <c r="G22" s="330">
        <f>12606755.93</f>
        <v>12606755.93</v>
      </c>
      <c r="H22" s="330">
        <f>344379.13</f>
        <v>344379.13</v>
      </c>
      <c r="I22" s="330">
        <f>0</f>
        <v>0</v>
      </c>
      <c r="J22" s="330">
        <f>38664.12</f>
        <v>38664.12</v>
      </c>
      <c r="K22" s="330">
        <f>2232405.87</f>
        <v>2232405.87</v>
      </c>
      <c r="L22" s="330">
        <f>108969930.76</f>
        <v>108969930.76</v>
      </c>
      <c r="M22" s="330">
        <f>25990827.72</f>
        <v>25990827.72</v>
      </c>
      <c r="N22" s="330">
        <f>13340514.91</f>
        <v>13340514.91</v>
      </c>
      <c r="O22" s="330">
        <f>0</f>
        <v>0</v>
      </c>
      <c r="P22" s="330">
        <f>0</f>
        <v>0</v>
      </c>
      <c r="Q22" s="330">
        <f>0</f>
        <v>0</v>
      </c>
    </row>
    <row r="23" spans="1:17" ht="32.25" customHeight="1" thickBot="1">
      <c r="A23" s="322" t="s">
        <v>633</v>
      </c>
      <c r="B23" s="330">
        <f>41996972.49</f>
        <v>41996972.49</v>
      </c>
      <c r="C23" s="330">
        <f>41996972.49</f>
        <v>41996972.49</v>
      </c>
      <c r="D23" s="330">
        <f>24247852.43</f>
        <v>24247852.43</v>
      </c>
      <c r="E23" s="330">
        <f>3314573.21</f>
        <v>3314573.21</v>
      </c>
      <c r="F23" s="330">
        <f>1532648.34</f>
        <v>1532648.34</v>
      </c>
      <c r="G23" s="330">
        <f>14044549.75</f>
        <v>14044549.75</v>
      </c>
      <c r="H23" s="330">
        <f>5356081.13</f>
        <v>5356081.13</v>
      </c>
      <c r="I23" s="330">
        <f>0</f>
        <v>0</v>
      </c>
      <c r="J23" s="330">
        <f>18.39</f>
        <v>18.39</v>
      </c>
      <c r="K23" s="330">
        <f>145204.93</f>
        <v>145204.93</v>
      </c>
      <c r="L23" s="330">
        <f>4510162.16</f>
        <v>4510162.16</v>
      </c>
      <c r="M23" s="330">
        <f>12529007.93</f>
        <v>12529007.93</v>
      </c>
      <c r="N23" s="330">
        <f>564726.65</f>
        <v>564726.65</v>
      </c>
      <c r="O23" s="330">
        <f>0</f>
        <v>0</v>
      </c>
      <c r="P23" s="330">
        <f>0</f>
        <v>0</v>
      </c>
      <c r="Q23" s="330">
        <f>0</f>
        <v>0</v>
      </c>
    </row>
    <row r="24" spans="1:17" ht="42.75" customHeight="1">
      <c r="A24" s="327"/>
      <c r="B24" s="639" t="s">
        <v>662</v>
      </c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327"/>
      <c r="O24" s="327"/>
      <c r="P24" s="327"/>
      <c r="Q24" s="327"/>
    </row>
    <row r="25" spans="1:17" ht="13.5" customHeight="1">
      <c r="A25" s="327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</row>
    <row r="26" spans="1:17" ht="13.5" customHeight="1">
      <c r="A26" s="327"/>
      <c r="B26" s="622" t="s">
        <v>460</v>
      </c>
      <c r="C26" s="623"/>
      <c r="D26" s="623"/>
      <c r="E26" s="624"/>
      <c r="F26" s="703" t="s">
        <v>663</v>
      </c>
      <c r="G26" s="627" t="s">
        <v>664</v>
      </c>
      <c r="H26" s="617"/>
      <c r="I26" s="617"/>
      <c r="J26" s="617"/>
      <c r="K26" s="617"/>
      <c r="L26" s="618"/>
      <c r="M26" s="327"/>
      <c r="N26" s="327"/>
      <c r="O26" s="327"/>
      <c r="P26" s="327"/>
      <c r="Q26" s="327"/>
    </row>
    <row r="27" spans="1:17" ht="13.5" customHeight="1">
      <c r="A27" s="327"/>
      <c r="B27" s="625"/>
      <c r="C27" s="615"/>
      <c r="D27" s="615"/>
      <c r="E27" s="616"/>
      <c r="F27" s="704"/>
      <c r="G27" s="706" t="s">
        <v>665</v>
      </c>
      <c r="H27" s="650" t="s">
        <v>610</v>
      </c>
      <c r="I27" s="650" t="s">
        <v>611</v>
      </c>
      <c r="J27" s="650" t="s">
        <v>642</v>
      </c>
      <c r="K27" s="650" t="s">
        <v>666</v>
      </c>
      <c r="L27" s="651" t="s">
        <v>667</v>
      </c>
      <c r="M27" s="327"/>
      <c r="N27" s="327"/>
      <c r="O27" s="327"/>
      <c r="P27" s="327"/>
      <c r="Q27" s="327"/>
    </row>
    <row r="28" spans="1:17" ht="13.5" customHeight="1">
      <c r="A28" s="327"/>
      <c r="B28" s="625"/>
      <c r="C28" s="615"/>
      <c r="D28" s="615"/>
      <c r="E28" s="616"/>
      <c r="F28" s="704"/>
      <c r="G28" s="706"/>
      <c r="H28" s="650"/>
      <c r="I28" s="650"/>
      <c r="J28" s="650"/>
      <c r="K28" s="650"/>
      <c r="L28" s="651"/>
      <c r="M28" s="327"/>
      <c r="N28" s="327"/>
      <c r="O28" s="327"/>
      <c r="P28" s="327"/>
      <c r="Q28" s="327"/>
    </row>
    <row r="29" spans="1:17" ht="11.25" customHeight="1">
      <c r="A29" s="327"/>
      <c r="B29" s="625"/>
      <c r="C29" s="615"/>
      <c r="D29" s="615"/>
      <c r="E29" s="616"/>
      <c r="F29" s="704"/>
      <c r="G29" s="706"/>
      <c r="H29" s="650"/>
      <c r="I29" s="650"/>
      <c r="J29" s="650"/>
      <c r="K29" s="650"/>
      <c r="L29" s="651"/>
      <c r="M29" s="327"/>
      <c r="N29" s="327"/>
      <c r="O29" s="327"/>
      <c r="P29" s="327"/>
      <c r="Q29" s="327"/>
    </row>
    <row r="30" spans="1:17" ht="11.25" customHeight="1">
      <c r="A30" s="327"/>
      <c r="B30" s="700"/>
      <c r="C30" s="701"/>
      <c r="D30" s="701"/>
      <c r="E30" s="702"/>
      <c r="F30" s="705"/>
      <c r="G30" s="706"/>
      <c r="H30" s="650"/>
      <c r="I30" s="650"/>
      <c r="J30" s="650"/>
      <c r="K30" s="650"/>
      <c r="L30" s="651"/>
      <c r="M30" s="327"/>
      <c r="N30" s="327"/>
      <c r="O30" s="327"/>
      <c r="P30" s="327"/>
      <c r="Q30" s="327"/>
    </row>
    <row r="31" spans="1:17" ht="13.5" customHeight="1">
      <c r="A31" s="327"/>
      <c r="B31" s="650">
        <v>1</v>
      </c>
      <c r="C31" s="650"/>
      <c r="D31" s="650"/>
      <c r="E31" s="650"/>
      <c r="F31" s="332">
        <v>2</v>
      </c>
      <c r="G31" s="332">
        <v>3</v>
      </c>
      <c r="H31" s="332">
        <v>4</v>
      </c>
      <c r="I31" s="332">
        <v>5</v>
      </c>
      <c r="J31" s="332">
        <v>6</v>
      </c>
      <c r="K31" s="332">
        <v>7</v>
      </c>
      <c r="L31" s="333">
        <v>8</v>
      </c>
      <c r="M31" s="327"/>
      <c r="N31" s="327"/>
      <c r="O31" s="327"/>
      <c r="P31" s="327"/>
      <c r="Q31" s="327"/>
    </row>
    <row r="32" spans="1:17" ht="33.75" customHeight="1">
      <c r="A32" s="327"/>
      <c r="B32" s="619" t="s">
        <v>668</v>
      </c>
      <c r="C32" s="620"/>
      <c r="D32" s="620"/>
      <c r="E32" s="621"/>
      <c r="F32" s="330">
        <f>4281224982.9</f>
        <v>4281224982.9</v>
      </c>
      <c r="G32" s="330">
        <f>2695211114.9</f>
        <v>2695211114.9</v>
      </c>
      <c r="H32" s="330">
        <f>191202953.19</f>
        <v>191202953.19</v>
      </c>
      <c r="I32" s="330">
        <f>373350616.85</f>
        <v>373350616.85</v>
      </c>
      <c r="J32" s="330">
        <f>2127814722.96</f>
        <v>2127814722.96</v>
      </c>
      <c r="K32" s="330">
        <f>2842821.9</f>
        <v>2842821.9</v>
      </c>
      <c r="L32" s="330">
        <f>1586013868</f>
        <v>1586013868</v>
      </c>
      <c r="M32" s="327"/>
      <c r="N32" s="327"/>
      <c r="O32" s="327"/>
      <c r="P32" s="327"/>
      <c r="Q32" s="327"/>
    </row>
    <row r="33" spans="1:17" ht="33.75" customHeight="1">
      <c r="A33" s="327"/>
      <c r="B33" s="619" t="s">
        <v>669</v>
      </c>
      <c r="C33" s="620"/>
      <c r="D33" s="620"/>
      <c r="E33" s="621"/>
      <c r="F33" s="330">
        <f>15782914.55</f>
        <v>15782914.55</v>
      </c>
      <c r="G33" s="330">
        <f>12448132.4</f>
        <v>12448132.4</v>
      </c>
      <c r="H33" s="330">
        <f>1634000</f>
        <v>1634000</v>
      </c>
      <c r="I33" s="330">
        <f>2289766.1</f>
        <v>2289766.1</v>
      </c>
      <c r="J33" s="330">
        <f>8524366.3</f>
        <v>8524366.3</v>
      </c>
      <c r="K33" s="330">
        <f>0</f>
        <v>0</v>
      </c>
      <c r="L33" s="330">
        <f>3334782.15</f>
        <v>3334782.15</v>
      </c>
      <c r="M33" s="327"/>
      <c r="N33" s="327"/>
      <c r="O33" s="327"/>
      <c r="P33" s="327"/>
      <c r="Q33" s="327"/>
    </row>
    <row r="34" spans="1:17" ht="33.75" customHeight="1">
      <c r="A34" s="327"/>
      <c r="B34" s="619" t="s">
        <v>670</v>
      </c>
      <c r="C34" s="620"/>
      <c r="D34" s="620"/>
      <c r="E34" s="621"/>
      <c r="F34" s="330">
        <f>619912268.41</f>
        <v>619912268.41</v>
      </c>
      <c r="G34" s="330">
        <f>510478953.9</f>
        <v>510478953.9</v>
      </c>
      <c r="H34" s="330">
        <f>21047956.98</f>
        <v>21047956.98</v>
      </c>
      <c r="I34" s="330">
        <f>182836850.43</f>
        <v>182836850.43</v>
      </c>
      <c r="J34" s="330">
        <f>306409776.15</f>
        <v>306409776.15</v>
      </c>
      <c r="K34" s="330">
        <f>184370.34</f>
        <v>184370.34</v>
      </c>
      <c r="L34" s="330">
        <f>109433314.51</f>
        <v>109433314.51</v>
      </c>
      <c r="M34" s="327"/>
      <c r="N34" s="327"/>
      <c r="O34" s="327"/>
      <c r="P34" s="327"/>
      <c r="Q34" s="327"/>
    </row>
    <row r="35" spans="1:17" ht="22.5" customHeight="1">
      <c r="A35" s="327"/>
      <c r="B35" s="619" t="s">
        <v>671</v>
      </c>
      <c r="C35" s="620"/>
      <c r="D35" s="620"/>
      <c r="E35" s="621"/>
      <c r="F35" s="330">
        <f>114728848.05</f>
        <v>114728848.05</v>
      </c>
      <c r="G35" s="330">
        <f>100623175.46</f>
        <v>100623175.46</v>
      </c>
      <c r="H35" s="330">
        <f>2490600</f>
        <v>2490600</v>
      </c>
      <c r="I35" s="330">
        <f>1571051.62</f>
        <v>1571051.62</v>
      </c>
      <c r="J35" s="330">
        <f>96130899.94</f>
        <v>96130899.94</v>
      </c>
      <c r="K35" s="330">
        <f>430623.9</f>
        <v>430623.9</v>
      </c>
      <c r="L35" s="330">
        <f>14105672.59</f>
        <v>14105672.59</v>
      </c>
      <c r="M35" s="327"/>
      <c r="N35" s="327"/>
      <c r="O35" s="327"/>
      <c r="P35" s="327"/>
      <c r="Q35" s="327"/>
    </row>
    <row r="36" spans="1:17" ht="33.75" customHeight="1">
      <c r="A36" s="327"/>
      <c r="B36" s="619" t="s">
        <v>672</v>
      </c>
      <c r="C36" s="620"/>
      <c r="D36" s="620"/>
      <c r="E36" s="621"/>
      <c r="F36" s="330">
        <f>8401304.25</f>
        <v>8401304.25</v>
      </c>
      <c r="G36" s="330">
        <f>8338599.18</f>
        <v>8338599.18</v>
      </c>
      <c r="H36" s="330">
        <f>0</f>
        <v>0</v>
      </c>
      <c r="I36" s="330">
        <f>0</f>
        <v>0</v>
      </c>
      <c r="J36" s="330">
        <f>7130352.34</f>
        <v>7130352.34</v>
      </c>
      <c r="K36" s="330">
        <f>1208246.84</f>
        <v>1208246.84</v>
      </c>
      <c r="L36" s="330">
        <f>62705.07</f>
        <v>62705.07</v>
      </c>
      <c r="M36" s="327"/>
      <c r="N36" s="327"/>
      <c r="O36" s="327"/>
      <c r="P36" s="327"/>
      <c r="Q36" s="327"/>
    </row>
    <row r="37" spans="1:17" ht="33.75" customHeight="1">
      <c r="A37" s="327"/>
      <c r="B37" s="619" t="s">
        <v>673</v>
      </c>
      <c r="C37" s="620"/>
      <c r="D37" s="620"/>
      <c r="E37" s="621"/>
      <c r="F37" s="330">
        <f>23631718.37</f>
        <v>23631718.37</v>
      </c>
      <c r="G37" s="330">
        <f>20441633.87</f>
        <v>20441633.87</v>
      </c>
      <c r="H37" s="330">
        <f>48279.53</f>
        <v>48279.53</v>
      </c>
      <c r="I37" s="330">
        <f>38279.29</f>
        <v>38279.29</v>
      </c>
      <c r="J37" s="330">
        <f>20355075.05</f>
        <v>20355075.05</v>
      </c>
      <c r="K37" s="330">
        <f>0</f>
        <v>0</v>
      </c>
      <c r="L37" s="330">
        <f>3190084.5</f>
        <v>3190084.5</v>
      </c>
      <c r="M37" s="327"/>
      <c r="N37" s="327"/>
      <c r="O37" s="327"/>
      <c r="P37" s="327"/>
      <c r="Q37" s="327"/>
    </row>
    <row r="38" spans="1:17" ht="22.5" customHeight="1">
      <c r="A38" s="327"/>
      <c r="B38" s="619" t="s">
        <v>674</v>
      </c>
      <c r="C38" s="620"/>
      <c r="D38" s="620"/>
      <c r="E38" s="621"/>
      <c r="F38" s="330">
        <f>399620.42</f>
        <v>399620.42</v>
      </c>
      <c r="G38" s="330">
        <f>386789.22</f>
        <v>386789.22</v>
      </c>
      <c r="H38" s="330">
        <f>5557.23</f>
        <v>5557.23</v>
      </c>
      <c r="I38" s="330">
        <f>0</f>
        <v>0</v>
      </c>
      <c r="J38" s="330">
        <f>381231.99</f>
        <v>381231.99</v>
      </c>
      <c r="K38" s="330">
        <f>0</f>
        <v>0</v>
      </c>
      <c r="L38" s="330">
        <f>12831.2</f>
        <v>12831.2</v>
      </c>
      <c r="M38" s="327"/>
      <c r="N38" s="327"/>
      <c r="O38" s="327"/>
      <c r="P38" s="327"/>
      <c r="Q38" s="327"/>
    </row>
    <row r="39" spans="1:17" ht="13.5" customHeight="1">
      <c r="A39" s="327"/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</row>
    <row r="40" spans="1:17" ht="13.5" customHeight="1">
      <c r="A40" s="327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</row>
    <row r="41" spans="1:17" ht="75" customHeight="1">
      <c r="A41" s="637" t="str">
        <f>CONCATENATE("Informacja z wykonania budżetów jednostek samorządu terytorialnego za ",$C$49," ",$B$50," roku")</f>
        <v>Informacja z wykonania budżetów jednostek samorządu terytorialnego za 2 kwartały 2008 roku</v>
      </c>
      <c r="B41" s="637"/>
      <c r="C41" s="637"/>
      <c r="D41" s="637"/>
      <c r="E41" s="637"/>
      <c r="F41" s="637"/>
      <c r="G41" s="637"/>
      <c r="H41" s="637"/>
      <c r="I41" s="637"/>
      <c r="J41" s="637"/>
      <c r="K41" s="637"/>
      <c r="L41" s="637"/>
      <c r="M41" s="637"/>
      <c r="N41" s="327"/>
      <c r="O41" s="327"/>
      <c r="P41" s="327"/>
      <c r="Q41" s="327"/>
    </row>
    <row r="42" spans="1:17" ht="13.5" customHeight="1">
      <c r="A42" s="327"/>
      <c r="B42" s="323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</row>
    <row r="43" spans="1:17" ht="13.5" customHeight="1">
      <c r="A43" s="327"/>
      <c r="B43" s="324"/>
      <c r="C43" s="627"/>
      <c r="D43" s="617"/>
      <c r="E43" s="617"/>
      <c r="F43" s="618"/>
      <c r="G43" s="627" t="s">
        <v>461</v>
      </c>
      <c r="H43" s="618"/>
      <c r="I43" s="627" t="s">
        <v>675</v>
      </c>
      <c r="J43" s="618"/>
      <c r="K43" s="324"/>
      <c r="L43" s="327"/>
      <c r="M43" s="327"/>
      <c r="N43" s="327"/>
      <c r="O43" s="327"/>
      <c r="P43" s="327"/>
      <c r="Q43" s="327"/>
    </row>
    <row r="44" spans="1:17" ht="13.5" customHeight="1">
      <c r="A44" s="327"/>
      <c r="B44" s="325"/>
      <c r="C44" s="619" t="s">
        <v>676</v>
      </c>
      <c r="D44" s="620"/>
      <c r="E44" s="620"/>
      <c r="F44" s="621"/>
      <c r="G44" s="631">
        <f>2642</f>
        <v>2642</v>
      </c>
      <c r="H44" s="632"/>
      <c r="I44" s="633">
        <f>12390499069.91</f>
        <v>12390499069.91</v>
      </c>
      <c r="J44" s="626"/>
      <c r="K44" s="326"/>
      <c r="L44" s="327"/>
      <c r="M44" s="327"/>
      <c r="N44" s="327"/>
      <c r="O44" s="327"/>
      <c r="P44" s="327"/>
      <c r="Q44" s="327"/>
    </row>
    <row r="45" spans="1:17" ht="13.5" customHeight="1">
      <c r="A45" s="327"/>
      <c r="B45" s="325"/>
      <c r="C45" s="619" t="s">
        <v>677</v>
      </c>
      <c r="D45" s="620"/>
      <c r="E45" s="620"/>
      <c r="F45" s="621"/>
      <c r="G45" s="631">
        <f>166</f>
        <v>166</v>
      </c>
      <c r="H45" s="632"/>
      <c r="I45" s="633">
        <f>-216129491.48</f>
        <v>-216129491.48</v>
      </c>
      <c r="J45" s="626"/>
      <c r="K45" s="326"/>
      <c r="L45" s="327"/>
      <c r="M45" s="327"/>
      <c r="N45" s="327"/>
      <c r="O45" s="327"/>
      <c r="P45" s="327"/>
      <c r="Q45" s="327"/>
    </row>
    <row r="46" spans="1:17" ht="13.5" customHeight="1">
      <c r="A46" s="327"/>
      <c r="B46" s="325"/>
      <c r="C46" s="619" t="s">
        <v>678</v>
      </c>
      <c r="D46" s="620"/>
      <c r="E46" s="620"/>
      <c r="F46" s="621"/>
      <c r="G46" s="631">
        <f>0</f>
        <v>0</v>
      </c>
      <c r="H46" s="632"/>
      <c r="I46" s="633">
        <f>0</f>
        <v>0</v>
      </c>
      <c r="J46" s="626"/>
      <c r="K46" s="326"/>
      <c r="L46" s="327"/>
      <c r="M46" s="327"/>
      <c r="N46" s="327"/>
      <c r="O46" s="327"/>
      <c r="P46" s="327"/>
      <c r="Q46" s="327"/>
    </row>
    <row r="47" spans="1:17" ht="13.5" customHeight="1">
      <c r="A47" s="327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</row>
    <row r="48" spans="1:17" ht="13.5" customHeight="1">
      <c r="A48" s="327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</row>
    <row r="49" spans="1:17" ht="13.5" customHeight="1" hidden="1">
      <c r="A49" s="334" t="s">
        <v>586</v>
      </c>
      <c r="B49" s="334">
        <f>2</f>
        <v>2</v>
      </c>
      <c r="C49" s="334" t="s">
        <v>697</v>
      </c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</row>
    <row r="50" spans="1:17" ht="13.5" customHeight="1" hidden="1">
      <c r="A50" s="334" t="s">
        <v>587</v>
      </c>
      <c r="B50" s="334">
        <f>2008</f>
        <v>2008</v>
      </c>
      <c r="C50" s="335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</row>
    <row r="51" spans="1:17" ht="13.5" customHeight="1" hidden="1">
      <c r="A51" s="334" t="s">
        <v>588</v>
      </c>
      <c r="B51" s="336" t="str">
        <f>"Aug 18 2008 12:00AM"</f>
        <v>Aug 18 2008 12:00AM</v>
      </c>
      <c r="C51" s="335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</row>
  </sheetData>
  <mergeCells count="53">
    <mergeCell ref="O6:Q6"/>
    <mergeCell ref="O7:O11"/>
    <mergeCell ref="H7:H11"/>
    <mergeCell ref="B37:E37"/>
    <mergeCell ref="B33:E33"/>
    <mergeCell ref="B32:E32"/>
    <mergeCell ref="F26:F30"/>
    <mergeCell ref="G27:G30"/>
    <mergeCell ref="G26:L26"/>
    <mergeCell ref="H27:H30"/>
    <mergeCell ref="I44:J44"/>
    <mergeCell ref="B24:M24"/>
    <mergeCell ref="I43:J43"/>
    <mergeCell ref="B31:E31"/>
    <mergeCell ref="B26:E30"/>
    <mergeCell ref="B38:E38"/>
    <mergeCell ref="A41:M41"/>
    <mergeCell ref="B34:E34"/>
    <mergeCell ref="B35:E35"/>
    <mergeCell ref="B36:E36"/>
    <mergeCell ref="G46:H46"/>
    <mergeCell ref="I46:J46"/>
    <mergeCell ref="C43:F43"/>
    <mergeCell ref="C44:F44"/>
    <mergeCell ref="C45:F45"/>
    <mergeCell ref="C46:F46"/>
    <mergeCell ref="G44:H44"/>
    <mergeCell ref="G43:H43"/>
    <mergeCell ref="G45:H45"/>
    <mergeCell ref="I45:J45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G7:G11"/>
    <mergeCell ref="F7:F11"/>
    <mergeCell ref="Q7:Q11"/>
    <mergeCell ref="L7:L11"/>
    <mergeCell ref="M7:M11"/>
    <mergeCell ref="N7:N11"/>
    <mergeCell ref="P7:P11"/>
    <mergeCell ref="K27:K30"/>
    <mergeCell ref="L27:L30"/>
    <mergeCell ref="I7:I11"/>
    <mergeCell ref="J7:J11"/>
    <mergeCell ref="I27:I30"/>
    <mergeCell ref="J27:J30"/>
  </mergeCells>
  <printOptions/>
  <pageMargins left="0.1968503937007874" right="0.1968503937007874" top="0.1968503937007874" bottom="0.1968503937007874" header="0" footer="0"/>
  <pageSetup horizontalDpi="300" verticalDpi="300" orientation="landscape" paperSize="9" scale="69" r:id="rId1"/>
  <headerFooter alignWithMargins="0">
    <oddFooter>&amp;L&amp;D&amp;RStrona &amp;P z &amp;N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66"/>
  <sheetViews>
    <sheetView showGridLines="0" workbookViewId="0" topLeftCell="A1">
      <selection activeCell="A1" sqref="A1:L27"/>
    </sheetView>
  </sheetViews>
  <sheetFormatPr defaultColWidth="9.140625" defaultRowHeight="12.75"/>
  <cols>
    <col min="1" max="1" width="5.7109375" style="1" customWidth="1"/>
    <col min="2" max="2" width="19.7109375" style="1" bestFit="1" customWidth="1"/>
    <col min="3" max="3" width="10.421875" style="1" bestFit="1" customWidth="1"/>
    <col min="4" max="4" width="16.8515625" style="1" bestFit="1" customWidth="1"/>
    <col min="5" max="5" width="16.421875" style="1" bestFit="1" customWidth="1"/>
    <col min="6" max="6" width="14.421875" style="1" customWidth="1"/>
    <col min="7" max="7" width="15.421875" style="1" customWidth="1"/>
    <col min="8" max="8" width="13.8515625" style="1" bestFit="1" customWidth="1"/>
    <col min="9" max="9" width="13.28125" style="1" customWidth="1"/>
    <col min="10" max="10" width="12.140625" style="1" customWidth="1"/>
    <col min="11" max="11" width="10.140625" style="1" bestFit="1" customWidth="1"/>
    <col min="12" max="12" width="4.57421875" style="1" bestFit="1" customWidth="1"/>
    <col min="13" max="16384" width="8.8515625" style="1" customWidth="1"/>
  </cols>
  <sheetData>
    <row r="2" spans="1:12" ht="15.75">
      <c r="A2" s="688" t="s">
        <v>698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</row>
    <row r="3" ht="12.75">
      <c r="A3" s="2"/>
    </row>
    <row r="4" ht="13.5" thickBot="1">
      <c r="A4" s="2"/>
    </row>
    <row r="5" spans="1:12" ht="12.75" customHeight="1" thickBot="1">
      <c r="A5" s="719" t="s">
        <v>0</v>
      </c>
      <c r="B5" s="714" t="s">
        <v>1</v>
      </c>
      <c r="C5" s="714" t="s">
        <v>2</v>
      </c>
      <c r="D5" s="722" t="s">
        <v>479</v>
      </c>
      <c r="E5" s="714" t="s">
        <v>480</v>
      </c>
      <c r="F5" s="715" t="s">
        <v>3</v>
      </c>
      <c r="G5" s="717" t="s">
        <v>4</v>
      </c>
      <c r="H5" s="3" t="s">
        <v>5</v>
      </c>
      <c r="I5" s="714" t="s">
        <v>6</v>
      </c>
      <c r="J5" s="707" t="s">
        <v>7</v>
      </c>
      <c r="K5" s="709" t="s">
        <v>8</v>
      </c>
      <c r="L5" s="709" t="s">
        <v>9</v>
      </c>
    </row>
    <row r="6" spans="1:12" ht="39.75" customHeight="1" thickBot="1">
      <c r="A6" s="720"/>
      <c r="B6" s="721"/>
      <c r="C6" s="721"/>
      <c r="D6" s="723"/>
      <c r="E6" s="710"/>
      <c r="F6" s="716"/>
      <c r="G6" s="718"/>
      <c r="H6" s="4" t="s">
        <v>10</v>
      </c>
      <c r="I6" s="710"/>
      <c r="J6" s="708"/>
      <c r="K6" s="710"/>
      <c r="L6" s="710"/>
    </row>
    <row r="7" spans="1:12" ht="12.75" thickBot="1">
      <c r="A7" s="720"/>
      <c r="B7" s="721"/>
      <c r="C7" s="721"/>
      <c r="D7" s="711" t="s">
        <v>11</v>
      </c>
      <c r="E7" s="711"/>
      <c r="F7" s="711"/>
      <c r="G7" s="711"/>
      <c r="H7" s="711"/>
      <c r="I7" s="711"/>
      <c r="J7" s="711"/>
      <c r="K7" s="712" t="s">
        <v>12</v>
      </c>
      <c r="L7" s="713"/>
    </row>
    <row r="8" spans="1:12" s="10" customFormat="1" ht="12" thickBot="1">
      <c r="A8" s="5">
        <v>1</v>
      </c>
      <c r="B8" s="6">
        <v>2</v>
      </c>
      <c r="C8" s="90">
        <v>3</v>
      </c>
      <c r="D8" s="95">
        <v>4</v>
      </c>
      <c r="E8" s="103">
        <v>5</v>
      </c>
      <c r="F8" s="9">
        <v>6</v>
      </c>
      <c r="G8" s="116">
        <v>7</v>
      </c>
      <c r="H8" s="95">
        <v>8</v>
      </c>
      <c r="I8" s="8">
        <v>9</v>
      </c>
      <c r="J8" s="9">
        <v>10</v>
      </c>
      <c r="K8" s="9">
        <v>11</v>
      </c>
      <c r="L8" s="6">
        <v>12</v>
      </c>
    </row>
    <row r="9" spans="1:12" ht="12.75">
      <c r="A9" s="11" t="s">
        <v>13</v>
      </c>
      <c r="B9" s="87" t="s">
        <v>14</v>
      </c>
      <c r="C9" s="92">
        <v>2055998</v>
      </c>
      <c r="D9" s="100">
        <v>5370237858.17</v>
      </c>
      <c r="E9" s="96">
        <v>6034439050.92</v>
      </c>
      <c r="F9" s="105">
        <f aca="true" t="shared" si="0" ref="F9:F24">D9-E9</f>
        <v>-664201192.75</v>
      </c>
      <c r="G9" s="108">
        <v>1014646520.9400005</v>
      </c>
      <c r="H9" s="109">
        <v>34100959.69</v>
      </c>
      <c r="I9" s="12">
        <f aca="true" t="shared" si="1" ref="I9:I25">G9/C9</f>
        <v>493.5055972525268</v>
      </c>
      <c r="J9" s="13">
        <f aca="true" t="shared" si="2" ref="J9:J25">H9/C9</f>
        <v>16.58608602245722</v>
      </c>
      <c r="K9" s="14">
        <f aca="true" t="shared" si="3" ref="K9:K25">G9/D9*100</f>
        <v>18.89388417677571</v>
      </c>
      <c r="L9" s="15">
        <f aca="true" t="shared" si="4" ref="L9:L25">H9/D9*100</f>
        <v>0.6349990557330822</v>
      </c>
    </row>
    <row r="10" spans="1:12" ht="12.75">
      <c r="A10" s="16" t="s">
        <v>15</v>
      </c>
      <c r="B10" s="88" t="s">
        <v>16</v>
      </c>
      <c r="C10" s="93">
        <v>1277213</v>
      </c>
      <c r="D10" s="101">
        <v>3010314789.27</v>
      </c>
      <c r="E10" s="97">
        <v>3355822358.4100003</v>
      </c>
      <c r="F10" s="106">
        <f t="shared" si="0"/>
        <v>-345507569.14000034</v>
      </c>
      <c r="G10" s="110">
        <v>434884803.8199999</v>
      </c>
      <c r="H10" s="111">
        <v>8019752.24</v>
      </c>
      <c r="I10" s="18">
        <f t="shared" si="1"/>
        <v>340.49512792306365</v>
      </c>
      <c r="J10" s="19">
        <f t="shared" si="2"/>
        <v>6.279103203615999</v>
      </c>
      <c r="K10" s="14">
        <f t="shared" si="3"/>
        <v>14.446489296405417</v>
      </c>
      <c r="L10" s="15">
        <f t="shared" si="4"/>
        <v>0.26640909012524855</v>
      </c>
    </row>
    <row r="11" spans="1:12" ht="12.75">
      <c r="A11" s="16" t="s">
        <v>17</v>
      </c>
      <c r="B11" s="88" t="s">
        <v>18</v>
      </c>
      <c r="C11" s="93">
        <v>1626814</v>
      </c>
      <c r="D11" s="101">
        <v>3744397748.200002</v>
      </c>
      <c r="E11" s="97">
        <v>4142784885.490005</v>
      </c>
      <c r="F11" s="106">
        <f t="shared" si="0"/>
        <v>-398387137.2900028</v>
      </c>
      <c r="G11" s="110">
        <v>347595605.07000005</v>
      </c>
      <c r="H11" s="111">
        <v>5833864.120000001</v>
      </c>
      <c r="I11" s="18">
        <f t="shared" si="1"/>
        <v>213.66647021109978</v>
      </c>
      <c r="J11" s="19">
        <f t="shared" si="2"/>
        <v>3.5860670734331035</v>
      </c>
      <c r="K11" s="14">
        <f t="shared" si="3"/>
        <v>9.283084448950312</v>
      </c>
      <c r="L11" s="15">
        <f t="shared" si="4"/>
        <v>0.1558024684424736</v>
      </c>
    </row>
    <row r="12" spans="1:12" ht="12.75">
      <c r="A12" s="16" t="s">
        <v>19</v>
      </c>
      <c r="B12" s="88" t="s">
        <v>20</v>
      </c>
      <c r="C12" s="93">
        <v>764901</v>
      </c>
      <c r="D12" s="101">
        <v>1933076441.33</v>
      </c>
      <c r="E12" s="97">
        <v>2137108453.029999</v>
      </c>
      <c r="F12" s="106">
        <f t="shared" si="0"/>
        <v>-204032011.6999991</v>
      </c>
      <c r="G12" s="110">
        <v>284384362.65</v>
      </c>
      <c r="H12" s="111">
        <v>5246356.48</v>
      </c>
      <c r="I12" s="18">
        <f t="shared" si="1"/>
        <v>371.7923792098585</v>
      </c>
      <c r="J12" s="19">
        <f t="shared" si="2"/>
        <v>6.85886994526089</v>
      </c>
      <c r="K12" s="14">
        <f t="shared" si="3"/>
        <v>14.711490791038617</v>
      </c>
      <c r="L12" s="15">
        <f t="shared" si="4"/>
        <v>0.2713993284399239</v>
      </c>
    </row>
    <row r="13" spans="1:12" ht="12.75">
      <c r="A13" s="16" t="s">
        <v>21</v>
      </c>
      <c r="B13" s="88" t="s">
        <v>22</v>
      </c>
      <c r="C13" s="93">
        <v>1678221</v>
      </c>
      <c r="D13" s="101">
        <v>3733393461.6699996</v>
      </c>
      <c r="E13" s="97">
        <v>4369067941.1100025</v>
      </c>
      <c r="F13" s="106">
        <f t="shared" si="0"/>
        <v>-635674479.4400029</v>
      </c>
      <c r="G13" s="110">
        <v>604589341.2700003</v>
      </c>
      <c r="H13" s="111">
        <v>5222320.81</v>
      </c>
      <c r="I13" s="18">
        <f t="shared" si="1"/>
        <v>360.2560933691095</v>
      </c>
      <c r="J13" s="19">
        <f t="shared" si="2"/>
        <v>3.1118194862297632</v>
      </c>
      <c r="K13" s="14">
        <f t="shared" si="3"/>
        <v>16.194096536494147</v>
      </c>
      <c r="L13" s="15">
        <f t="shared" si="4"/>
        <v>0.13988134022348617</v>
      </c>
    </row>
    <row r="14" spans="1:12" ht="12.75">
      <c r="A14" s="16" t="s">
        <v>23</v>
      </c>
      <c r="B14" s="88" t="s">
        <v>24</v>
      </c>
      <c r="C14" s="93">
        <v>2313485</v>
      </c>
      <c r="D14" s="101">
        <v>5351822682.769999</v>
      </c>
      <c r="E14" s="97">
        <v>6002450429.529997</v>
      </c>
      <c r="F14" s="106">
        <f t="shared" si="0"/>
        <v>-650627746.7599983</v>
      </c>
      <c r="G14" s="110">
        <v>901873600.5500001</v>
      </c>
      <c r="H14" s="111">
        <v>5653547.659999999</v>
      </c>
      <c r="I14" s="18">
        <f t="shared" si="1"/>
        <v>389.8333468987264</v>
      </c>
      <c r="J14" s="19">
        <f t="shared" si="2"/>
        <v>2.443736466845473</v>
      </c>
      <c r="K14" s="14">
        <f t="shared" si="3"/>
        <v>16.851709296228176</v>
      </c>
      <c r="L14" s="15">
        <f t="shared" si="4"/>
        <v>0.10563779846820025</v>
      </c>
    </row>
    <row r="15" spans="1:12" ht="12.75">
      <c r="A15" s="16" t="s">
        <v>25</v>
      </c>
      <c r="B15" s="88" t="s">
        <v>26</v>
      </c>
      <c r="C15" s="93">
        <v>2985873</v>
      </c>
      <c r="D15" s="101">
        <v>7729151860.629994</v>
      </c>
      <c r="E15" s="97">
        <v>8981227820.44999</v>
      </c>
      <c r="F15" s="106">
        <f t="shared" si="0"/>
        <v>-1252075959.819995</v>
      </c>
      <c r="G15" s="110">
        <v>1119865114.45</v>
      </c>
      <c r="H15" s="111">
        <v>13431707.760000002</v>
      </c>
      <c r="I15" s="18">
        <f t="shared" si="1"/>
        <v>375.0545031386131</v>
      </c>
      <c r="J15" s="19">
        <f t="shared" si="2"/>
        <v>4.498418974953054</v>
      </c>
      <c r="K15" s="14">
        <f t="shared" si="3"/>
        <v>14.488848642685632</v>
      </c>
      <c r="L15" s="15">
        <f t="shared" si="4"/>
        <v>0.17377984030068208</v>
      </c>
    </row>
    <row r="16" spans="1:12" ht="12.75">
      <c r="A16" s="16" t="s">
        <v>27</v>
      </c>
      <c r="B16" s="88" t="s">
        <v>28</v>
      </c>
      <c r="C16" s="93">
        <v>914339</v>
      </c>
      <c r="D16" s="101">
        <v>1989145935.5699997</v>
      </c>
      <c r="E16" s="97">
        <v>2245340301.840002</v>
      </c>
      <c r="F16" s="106">
        <f t="shared" si="0"/>
        <v>-256194366.27000237</v>
      </c>
      <c r="G16" s="110">
        <v>226733086.26000008</v>
      </c>
      <c r="H16" s="111">
        <v>2790559.75</v>
      </c>
      <c r="I16" s="18">
        <f t="shared" si="1"/>
        <v>247.9748608120184</v>
      </c>
      <c r="J16" s="19">
        <f t="shared" si="2"/>
        <v>3.051996852370948</v>
      </c>
      <c r="K16" s="14">
        <f t="shared" si="3"/>
        <v>11.39851441794936</v>
      </c>
      <c r="L16" s="15">
        <f t="shared" si="4"/>
        <v>0.1402893422799746</v>
      </c>
    </row>
    <row r="17" spans="1:12" ht="12.75">
      <c r="A17" s="16" t="s">
        <v>29</v>
      </c>
      <c r="B17" s="88" t="s">
        <v>30</v>
      </c>
      <c r="C17" s="93">
        <v>1769159</v>
      </c>
      <c r="D17" s="101">
        <v>3859321584.0499997</v>
      </c>
      <c r="E17" s="97">
        <v>4315078100.190001</v>
      </c>
      <c r="F17" s="106">
        <f t="shared" si="0"/>
        <v>-455756516.1400008</v>
      </c>
      <c r="G17" s="110">
        <v>542873055.8099997</v>
      </c>
      <c r="H17" s="111">
        <v>7618148.24</v>
      </c>
      <c r="I17" s="18">
        <f t="shared" si="1"/>
        <v>306.85374000301823</v>
      </c>
      <c r="J17" s="19">
        <f t="shared" si="2"/>
        <v>4.306084552038568</v>
      </c>
      <c r="K17" s="14">
        <f t="shared" si="3"/>
        <v>14.066541074307285</v>
      </c>
      <c r="L17" s="15">
        <f t="shared" si="4"/>
        <v>0.19739604679445918</v>
      </c>
    </row>
    <row r="18" spans="1:12" ht="12.75">
      <c r="A18" s="16" t="s">
        <v>31</v>
      </c>
      <c r="B18" s="88" t="s">
        <v>32</v>
      </c>
      <c r="C18" s="93">
        <v>768638</v>
      </c>
      <c r="D18" s="101">
        <v>1801103531.51</v>
      </c>
      <c r="E18" s="97">
        <v>1922363972.51</v>
      </c>
      <c r="F18" s="106">
        <f t="shared" si="0"/>
        <v>-121260441</v>
      </c>
      <c r="G18" s="110">
        <v>172683850.11999995</v>
      </c>
      <c r="H18" s="111">
        <v>2417739.73</v>
      </c>
      <c r="I18" s="18">
        <f t="shared" si="1"/>
        <v>224.66212979321858</v>
      </c>
      <c r="J18" s="19">
        <f t="shared" si="2"/>
        <v>3.145485560172669</v>
      </c>
      <c r="K18" s="14">
        <f t="shared" si="3"/>
        <v>9.587669287130105</v>
      </c>
      <c r="L18" s="15">
        <f t="shared" si="4"/>
        <v>0.13423657705967784</v>
      </c>
    </row>
    <row r="19" spans="1:12" ht="12.75">
      <c r="A19" s="16" t="s">
        <v>33</v>
      </c>
      <c r="B19" s="88" t="s">
        <v>34</v>
      </c>
      <c r="C19" s="93">
        <v>1357377</v>
      </c>
      <c r="D19" s="101">
        <v>3539985072.9900002</v>
      </c>
      <c r="E19" s="97">
        <v>3985741999.14</v>
      </c>
      <c r="F19" s="106">
        <f t="shared" si="0"/>
        <v>-445756926.1499996</v>
      </c>
      <c r="G19" s="110">
        <v>570519945.5699999</v>
      </c>
      <c r="H19" s="111">
        <v>7304438.900000003</v>
      </c>
      <c r="I19" s="18">
        <f t="shared" si="1"/>
        <v>420.3106031485725</v>
      </c>
      <c r="J19" s="19">
        <f t="shared" si="2"/>
        <v>5.3812897227520455</v>
      </c>
      <c r="K19" s="14">
        <f t="shared" si="3"/>
        <v>16.116450600965898</v>
      </c>
      <c r="L19" s="15">
        <f t="shared" si="4"/>
        <v>0.20634095199250113</v>
      </c>
    </row>
    <row r="20" spans="1:12" ht="12.75">
      <c r="A20" s="16" t="s">
        <v>35</v>
      </c>
      <c r="B20" s="88" t="s">
        <v>36</v>
      </c>
      <c r="C20" s="93">
        <v>1958384</v>
      </c>
      <c r="D20" s="101">
        <v>4616245361.4000025</v>
      </c>
      <c r="E20" s="97">
        <v>5241767488.930008</v>
      </c>
      <c r="F20" s="106">
        <f t="shared" si="0"/>
        <v>-625522127.5300055</v>
      </c>
      <c r="G20" s="110">
        <v>782041007.4699999</v>
      </c>
      <c r="H20" s="111">
        <v>6009583.970000003</v>
      </c>
      <c r="I20" s="18">
        <f t="shared" si="1"/>
        <v>399.32975732542747</v>
      </c>
      <c r="J20" s="19">
        <f t="shared" si="2"/>
        <v>3.068644336350789</v>
      </c>
      <c r="K20" s="14">
        <f t="shared" si="3"/>
        <v>16.941062405591556</v>
      </c>
      <c r="L20" s="15">
        <f t="shared" si="4"/>
        <v>0.13018337413887882</v>
      </c>
    </row>
    <row r="21" spans="1:12" ht="12.75">
      <c r="A21" s="16" t="s">
        <v>37</v>
      </c>
      <c r="B21" s="88" t="s">
        <v>38</v>
      </c>
      <c r="C21" s="93">
        <v>1072650</v>
      </c>
      <c r="D21" s="101">
        <v>2447011923.89</v>
      </c>
      <c r="E21" s="97">
        <v>2730717682.930001</v>
      </c>
      <c r="F21" s="106">
        <f t="shared" si="0"/>
        <v>-283705759.0400009</v>
      </c>
      <c r="G21" s="110">
        <v>292492057.55000013</v>
      </c>
      <c r="H21" s="111">
        <v>6823062.63</v>
      </c>
      <c r="I21" s="18">
        <f t="shared" si="1"/>
        <v>272.68172987460974</v>
      </c>
      <c r="J21" s="19">
        <f t="shared" si="2"/>
        <v>6.360940316039715</v>
      </c>
      <c r="K21" s="14">
        <f t="shared" si="3"/>
        <v>11.953029517119283</v>
      </c>
      <c r="L21" s="15">
        <f t="shared" si="4"/>
        <v>0.2788324226533976</v>
      </c>
    </row>
    <row r="22" spans="1:12" ht="12.75">
      <c r="A22" s="16" t="s">
        <v>39</v>
      </c>
      <c r="B22" s="88" t="s">
        <v>40</v>
      </c>
      <c r="C22" s="93">
        <v>1124957</v>
      </c>
      <c r="D22" s="101">
        <v>2948688923.0699987</v>
      </c>
      <c r="E22" s="97">
        <v>3265751025.0799985</v>
      </c>
      <c r="F22" s="106">
        <f t="shared" si="0"/>
        <v>-317062102.00999975</v>
      </c>
      <c r="G22" s="110">
        <v>427069149.4400001</v>
      </c>
      <c r="H22" s="111">
        <v>9012810.94</v>
      </c>
      <c r="I22" s="18">
        <f t="shared" si="1"/>
        <v>379.63153208522647</v>
      </c>
      <c r="J22" s="19">
        <f t="shared" si="2"/>
        <v>8.01169372696023</v>
      </c>
      <c r="K22" s="14">
        <f t="shared" si="3"/>
        <v>14.483357199828365</v>
      </c>
      <c r="L22" s="15">
        <f t="shared" si="4"/>
        <v>0.3056548579772328</v>
      </c>
    </row>
    <row r="23" spans="1:12" ht="12.75">
      <c r="A23" s="16" t="s">
        <v>41</v>
      </c>
      <c r="B23" s="88" t="s">
        <v>42</v>
      </c>
      <c r="C23" s="93">
        <v>2560648</v>
      </c>
      <c r="D23" s="101">
        <v>5880582572.050001</v>
      </c>
      <c r="E23" s="97">
        <v>6640107617.420004</v>
      </c>
      <c r="F23" s="106">
        <f t="shared" si="0"/>
        <v>-759525045.3700027</v>
      </c>
      <c r="G23" s="110">
        <v>913908138.6600001</v>
      </c>
      <c r="H23" s="111">
        <v>6498331.62</v>
      </c>
      <c r="I23" s="18">
        <f t="shared" si="1"/>
        <v>356.9050250795893</v>
      </c>
      <c r="J23" s="19">
        <f t="shared" si="2"/>
        <v>2.537768416432091</v>
      </c>
      <c r="K23" s="14">
        <f t="shared" si="3"/>
        <v>15.541115654148651</v>
      </c>
      <c r="L23" s="15">
        <f t="shared" si="4"/>
        <v>0.11050489539737299</v>
      </c>
    </row>
    <row r="24" spans="1:12" ht="13.5" thickBot="1">
      <c r="A24" s="20" t="s">
        <v>43</v>
      </c>
      <c r="B24" s="89" t="s">
        <v>44</v>
      </c>
      <c r="C24" s="94">
        <v>1135258</v>
      </c>
      <c r="D24" s="102">
        <v>3070241861.479999</v>
      </c>
      <c r="E24" s="98">
        <v>3452891401.890005</v>
      </c>
      <c r="F24" s="106">
        <f t="shared" si="0"/>
        <v>-382649540.41000605</v>
      </c>
      <c r="G24" s="112">
        <v>553255535.4300002</v>
      </c>
      <c r="H24" s="113">
        <v>9940433.010000004</v>
      </c>
      <c r="I24" s="21">
        <f t="shared" si="1"/>
        <v>487.3390325635232</v>
      </c>
      <c r="J24" s="22">
        <f t="shared" si="2"/>
        <v>8.756100384229843</v>
      </c>
      <c r="K24" s="23">
        <f t="shared" si="3"/>
        <v>18.019933294874214</v>
      </c>
      <c r="L24" s="24">
        <f t="shared" si="4"/>
        <v>0.3237670990912831</v>
      </c>
    </row>
    <row r="25" spans="1:12" ht="13.5" thickBot="1">
      <c r="A25" s="686" t="s">
        <v>45</v>
      </c>
      <c r="B25" s="687"/>
      <c r="C25" s="91">
        <f aca="true" t="shared" si="5" ref="C25:H25">SUM(C9:C24)</f>
        <v>25363915</v>
      </c>
      <c r="D25" s="99">
        <f t="shared" si="5"/>
        <v>61024721608.049995</v>
      </c>
      <c r="E25" s="104">
        <f t="shared" si="5"/>
        <v>68822660528.87003</v>
      </c>
      <c r="F25" s="152">
        <f t="shared" si="5"/>
        <v>-7797938920.820015</v>
      </c>
      <c r="G25" s="115">
        <f t="shared" si="5"/>
        <v>9189415175.060001</v>
      </c>
      <c r="H25" s="99">
        <f t="shared" si="5"/>
        <v>135923617.55</v>
      </c>
      <c r="I25" s="114">
        <f t="shared" si="1"/>
        <v>362.3027113543001</v>
      </c>
      <c r="J25" s="25">
        <f t="shared" si="2"/>
        <v>5.3589368025401445</v>
      </c>
      <c r="K25" s="26">
        <f t="shared" si="3"/>
        <v>15.058512243745806</v>
      </c>
      <c r="L25" s="27">
        <f t="shared" si="4"/>
        <v>0.22273533408806215</v>
      </c>
    </row>
    <row r="27" ht="12">
      <c r="A27" s="28" t="s">
        <v>699</v>
      </c>
    </row>
    <row r="30" ht="12.75">
      <c r="D30" s="29" t="s">
        <v>46</v>
      </c>
    </row>
    <row r="60" ht="12.75">
      <c r="A60" s="549" t="s">
        <v>693</v>
      </c>
    </row>
    <row r="61" spans="3:5" ht="12">
      <c r="C61" s="1">
        <v>867834</v>
      </c>
      <c r="D61" s="1">
        <v>838310</v>
      </c>
      <c r="E61" s="1">
        <v>1134109</v>
      </c>
    </row>
    <row r="62" spans="3:5" ht="12">
      <c r="C62" s="1">
        <v>94655</v>
      </c>
      <c r="D62" s="1">
        <v>100812</v>
      </c>
      <c r="E62" s="1">
        <v>141827</v>
      </c>
    </row>
    <row r="63" spans="3:8" ht="12">
      <c r="C63" s="556">
        <f>+C62-F63</f>
        <v>65351</v>
      </c>
      <c r="D63" s="556">
        <f>+D62-G63</f>
        <v>85401</v>
      </c>
      <c r="E63" s="556">
        <f>+E62-H63</f>
        <v>52052</v>
      </c>
      <c r="F63" s="554">
        <v>29304</v>
      </c>
      <c r="G63" s="554">
        <v>15411</v>
      </c>
      <c r="H63" s="554">
        <v>89775</v>
      </c>
    </row>
    <row r="64" spans="3:5" ht="12">
      <c r="C64" s="1">
        <v>9048</v>
      </c>
      <c r="D64" s="1">
        <v>14091</v>
      </c>
      <c r="E64" s="1">
        <v>8915</v>
      </c>
    </row>
    <row r="65" spans="3:5" ht="12">
      <c r="C65" s="1">
        <v>5503</v>
      </c>
      <c r="D65" s="1">
        <v>4164</v>
      </c>
      <c r="E65" s="1">
        <v>4867</v>
      </c>
    </row>
    <row r="66" spans="3:5" ht="12">
      <c r="C66" s="1">
        <v>2942</v>
      </c>
      <c r="D66" s="1">
        <v>3550</v>
      </c>
      <c r="E66" s="1">
        <v>495</v>
      </c>
    </row>
    <row r="71" ht="7.5" customHeight="1"/>
  </sheetData>
  <mergeCells count="15">
    <mergeCell ref="A2:L2"/>
    <mergeCell ref="A5:A7"/>
    <mergeCell ref="B5:B7"/>
    <mergeCell ref="C5:C7"/>
    <mergeCell ref="D5:D6"/>
    <mergeCell ref="A25:B25"/>
    <mergeCell ref="J5:J6"/>
    <mergeCell ref="K5:K6"/>
    <mergeCell ref="L5:L6"/>
    <mergeCell ref="D7:J7"/>
    <mergeCell ref="K7:L7"/>
    <mergeCell ref="E5:E6"/>
    <mergeCell ref="F5:F6"/>
    <mergeCell ref="G5:G6"/>
    <mergeCell ref="I5:I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/>
  <dimension ref="A1:AA96"/>
  <sheetViews>
    <sheetView showGridLines="0" workbookViewId="0" topLeftCell="B45">
      <selection activeCell="B47" sqref="B47"/>
    </sheetView>
  </sheetViews>
  <sheetFormatPr defaultColWidth="9.140625" defaultRowHeight="12.75"/>
  <cols>
    <col min="1" max="1" width="5.7109375" style="337" hidden="1" customWidth="1"/>
    <col min="2" max="2" width="22.8515625" style="337" customWidth="1"/>
    <col min="3" max="5" width="14.57421875" style="337" customWidth="1"/>
    <col min="6" max="6" width="13.8515625" style="337" customWidth="1"/>
    <col min="7" max="7" width="13.00390625" style="337" customWidth="1"/>
    <col min="8" max="8" width="11.8515625" style="337" customWidth="1"/>
    <col min="9" max="9" width="13.00390625" style="337" customWidth="1"/>
    <col min="10" max="10" width="12.7109375" style="337" customWidth="1"/>
    <col min="11" max="11" width="7.00390625" style="337" customWidth="1"/>
    <col min="12" max="12" width="7.28125" style="337" customWidth="1"/>
    <col min="13" max="13" width="8.140625" style="337" customWidth="1"/>
    <col min="14" max="16384" width="9.140625" style="337" customWidth="1"/>
  </cols>
  <sheetData>
    <row r="1" spans="2:27" ht="75" customHeight="1">
      <c r="B1" s="725" t="str">
        <f>CONCATENATE("Informacja z wykonania budżetów gmin za ",$D$94," ",$C$95," roku")</f>
        <v>Informacja z wykonania budżetów gmin za 2 kwartały 2008 roku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</row>
    <row r="2" spans="2:27" ht="12.75"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</row>
    <row r="3" spans="2:27" ht="66.75" customHeight="1">
      <c r="B3" s="727" t="s">
        <v>500</v>
      </c>
      <c r="C3" s="354" t="s">
        <v>589</v>
      </c>
      <c r="D3" s="354" t="s">
        <v>590</v>
      </c>
      <c r="E3" s="354" t="s">
        <v>591</v>
      </c>
      <c r="F3" s="354" t="s">
        <v>592</v>
      </c>
      <c r="G3" s="354" t="s">
        <v>593</v>
      </c>
      <c r="H3" s="354" t="s">
        <v>594</v>
      </c>
      <c r="I3" s="354" t="s">
        <v>595</v>
      </c>
      <c r="J3" s="354" t="s">
        <v>596</v>
      </c>
      <c r="K3" s="355" t="s">
        <v>501</v>
      </c>
      <c r="L3" s="354" t="s">
        <v>502</v>
      </c>
      <c r="M3" s="354" t="s">
        <v>503</v>
      </c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</row>
    <row r="4" spans="2:27" ht="12.75">
      <c r="B4" s="727"/>
      <c r="C4" s="724"/>
      <c r="D4" s="724"/>
      <c r="E4" s="724"/>
      <c r="F4" s="724"/>
      <c r="G4" s="724"/>
      <c r="H4" s="724"/>
      <c r="I4" s="724"/>
      <c r="J4" s="724"/>
      <c r="K4" s="724" t="s">
        <v>12</v>
      </c>
      <c r="L4" s="724"/>
      <c r="M4" s="724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</row>
    <row r="5" spans="2:27" ht="12.75">
      <c r="B5" s="355">
        <v>1</v>
      </c>
      <c r="C5" s="356">
        <v>2</v>
      </c>
      <c r="D5" s="356">
        <v>3</v>
      </c>
      <c r="E5" s="356">
        <v>4</v>
      </c>
      <c r="F5" s="355">
        <v>5</v>
      </c>
      <c r="G5" s="356">
        <v>6</v>
      </c>
      <c r="H5" s="355">
        <v>7</v>
      </c>
      <c r="I5" s="356">
        <v>8</v>
      </c>
      <c r="J5" s="355">
        <v>9</v>
      </c>
      <c r="K5" s="356">
        <v>10</v>
      </c>
      <c r="L5" s="355">
        <v>11</v>
      </c>
      <c r="M5" s="356">
        <v>12</v>
      </c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</row>
    <row r="6" spans="2:27" ht="25.5" customHeight="1">
      <c r="B6" s="353" t="s">
        <v>504</v>
      </c>
      <c r="C6" s="357">
        <f>61024721608.05</f>
        <v>61024721608.05</v>
      </c>
      <c r="D6" s="357">
        <f>31344661524.8</f>
        <v>31344661524.8</v>
      </c>
      <c r="E6" s="357">
        <f>30680747430.93</f>
        <v>30680747430.93</v>
      </c>
      <c r="F6" s="357">
        <f>1209729059.46</f>
        <v>1209729059.46</v>
      </c>
      <c r="G6" s="357">
        <f>232405640.87</f>
        <v>232405640.87</v>
      </c>
      <c r="H6" s="357">
        <f>70859776.68</f>
        <v>70859776.68</v>
      </c>
      <c r="I6" s="357">
        <f>94746323.57</f>
        <v>94746323.57</v>
      </c>
      <c r="J6" s="357">
        <f>6022722.45</f>
        <v>6022722.45</v>
      </c>
      <c r="K6" s="338">
        <f aca="true" t="shared" si="0" ref="K6:K38">IF($D$6=0,"",100*$D6/$D$6)</f>
        <v>100</v>
      </c>
      <c r="L6" s="338">
        <f aca="true" t="shared" si="1" ref="L6:L38">IF(C6=0,"",100*D6/C6)</f>
        <v>51.363874670532226</v>
      </c>
      <c r="M6" s="338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</row>
    <row r="7" spans="2:27" ht="25.5" customHeight="1">
      <c r="B7" s="353" t="s">
        <v>505</v>
      </c>
      <c r="C7" s="357">
        <f>C6-C22-C33</f>
        <v>30101926451.190002</v>
      </c>
      <c r="D7" s="357">
        <f>D6-D22-D33</f>
        <v>14336320282.21</v>
      </c>
      <c r="E7" s="357">
        <f>E6-E22-E33</f>
        <v>14284120306.580002</v>
      </c>
      <c r="F7" s="357">
        <f>F6</f>
        <v>1209729059.46</v>
      </c>
      <c r="G7" s="357">
        <f>G6</f>
        <v>232405640.87</v>
      </c>
      <c r="H7" s="357">
        <f>H6</f>
        <v>70859776.68</v>
      </c>
      <c r="I7" s="357">
        <f>I6</f>
        <v>94746323.57</v>
      </c>
      <c r="J7" s="357">
        <f>J6</f>
        <v>6022722.45</v>
      </c>
      <c r="K7" s="338">
        <f t="shared" si="0"/>
        <v>45.73767775691901</v>
      </c>
      <c r="L7" s="338">
        <f t="shared" si="1"/>
        <v>47.62592289718139</v>
      </c>
      <c r="M7" s="338">
        <f aca="true" t="shared" si="2" ref="M7:M21">IF($D$7=0,"",100*$D7/$D$7)</f>
        <v>100</v>
      </c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</row>
    <row r="8" spans="2:27" ht="22.5" customHeight="1">
      <c r="B8" s="343" t="s">
        <v>506</v>
      </c>
      <c r="C8" s="339">
        <f>603433370.2</f>
        <v>603433370.2</v>
      </c>
      <c r="D8" s="339">
        <f>366341331.86</f>
        <v>366341331.86</v>
      </c>
      <c r="E8" s="339">
        <f>383938582.94</f>
        <v>383938582.94</v>
      </c>
      <c r="F8" s="339">
        <f>0</f>
        <v>0</v>
      </c>
      <c r="G8" s="339">
        <f>0</f>
        <v>0</v>
      </c>
      <c r="H8" s="339">
        <f>0</f>
        <v>0</v>
      </c>
      <c r="I8" s="339">
        <f>0</f>
        <v>0</v>
      </c>
      <c r="J8" s="339">
        <f>0</f>
        <v>0</v>
      </c>
      <c r="K8" s="338">
        <f t="shared" si="0"/>
        <v>1.1687519151232484</v>
      </c>
      <c r="L8" s="340">
        <f t="shared" si="1"/>
        <v>60.70949171050666</v>
      </c>
      <c r="M8" s="340">
        <f t="shared" si="2"/>
        <v>2.5553372458802732</v>
      </c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</row>
    <row r="9" spans="2:27" ht="22.5" customHeight="1">
      <c r="B9" s="343" t="s">
        <v>507</v>
      </c>
      <c r="C9" s="339">
        <f>9573637005</f>
        <v>9573637005</v>
      </c>
      <c r="D9" s="339">
        <f>4466813027</f>
        <v>4466813027</v>
      </c>
      <c r="E9" s="339">
        <f>4455345183.39</f>
        <v>4455345183.39</v>
      </c>
      <c r="F9" s="339">
        <f>0</f>
        <v>0</v>
      </c>
      <c r="G9" s="339">
        <f>0</f>
        <v>0</v>
      </c>
      <c r="H9" s="339">
        <f>0</f>
        <v>0</v>
      </c>
      <c r="I9" s="339">
        <f>0</f>
        <v>0</v>
      </c>
      <c r="J9" s="339">
        <f>0</f>
        <v>0</v>
      </c>
      <c r="K9" s="338">
        <f t="shared" si="0"/>
        <v>14.250634110264176</v>
      </c>
      <c r="L9" s="340">
        <f t="shared" si="1"/>
        <v>46.65743044850279</v>
      </c>
      <c r="M9" s="340">
        <f t="shared" si="2"/>
        <v>31.157318887070954</v>
      </c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</row>
    <row r="10" spans="2:27" ht="13.5" customHeight="1">
      <c r="B10" s="343" t="s">
        <v>508</v>
      </c>
      <c r="C10" s="339">
        <f>1190736878.16</f>
        <v>1190736878.16</v>
      </c>
      <c r="D10" s="339">
        <f>653067998.83</f>
        <v>653067998.83</v>
      </c>
      <c r="E10" s="339">
        <f>652076639.44</f>
        <v>652076639.44</v>
      </c>
      <c r="F10" s="339">
        <f>248303949.34</f>
        <v>248303949.34</v>
      </c>
      <c r="G10" s="339">
        <f>2314941.39</f>
        <v>2314941.39</v>
      </c>
      <c r="H10" s="339">
        <f>5871805.92</f>
        <v>5871805.92</v>
      </c>
      <c r="I10" s="339">
        <f>11926148.99</f>
        <v>11926148.99</v>
      </c>
      <c r="J10" s="339">
        <f>53268.22</f>
        <v>53268.22</v>
      </c>
      <c r="K10" s="340">
        <f t="shared" si="0"/>
        <v>2.083506303978719</v>
      </c>
      <c r="L10" s="340">
        <f t="shared" si="1"/>
        <v>54.84570191855995</v>
      </c>
      <c r="M10" s="340">
        <f t="shared" si="2"/>
        <v>4.555339068703669</v>
      </c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</row>
    <row r="11" spans="2:27" ht="13.5" customHeight="1">
      <c r="B11" s="343" t="s">
        <v>509</v>
      </c>
      <c r="C11" s="339">
        <f>7924968504.23</f>
        <v>7924968504.23</v>
      </c>
      <c r="D11" s="358">
        <f>4102300352.27</f>
        <v>4102300352.27</v>
      </c>
      <c r="E11" s="339">
        <f>4086937984.53</f>
        <v>4086937984.53</v>
      </c>
      <c r="F11" s="339">
        <f>819775491.47</f>
        <v>819775491.47</v>
      </c>
      <c r="G11" s="339">
        <f>226349642.84</f>
        <v>226349642.84</v>
      </c>
      <c r="H11" s="339">
        <f>49620389.89</f>
        <v>49620389.89</v>
      </c>
      <c r="I11" s="339">
        <f>65334160.63</f>
        <v>65334160.63</v>
      </c>
      <c r="J11" s="339">
        <f>4785429.58</f>
        <v>4785429.58</v>
      </c>
      <c r="K11" s="340">
        <f t="shared" si="0"/>
        <v>13.087716225693637</v>
      </c>
      <c r="L11" s="340">
        <f t="shared" si="1"/>
        <v>51.76424802294637</v>
      </c>
      <c r="M11" s="340">
        <f t="shared" si="2"/>
        <v>28.614737056067042</v>
      </c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</row>
    <row r="12" spans="2:27" ht="13.5" customHeight="1">
      <c r="B12" s="343" t="s">
        <v>510</v>
      </c>
      <c r="C12" s="339">
        <f>167319097.59</f>
        <v>167319097.59</v>
      </c>
      <c r="D12" s="358">
        <f>93063204.41</f>
        <v>93063204.41</v>
      </c>
      <c r="E12" s="339">
        <f>93470824.62</f>
        <v>93470824.62</v>
      </c>
      <c r="F12" s="339">
        <f>1213678.74</f>
        <v>1213678.74</v>
      </c>
      <c r="G12" s="339">
        <f>212629.71</f>
        <v>212629.71</v>
      </c>
      <c r="H12" s="339">
        <f>135464.7</f>
        <v>135464.7</v>
      </c>
      <c r="I12" s="339">
        <f>29849.39</f>
        <v>29849.39</v>
      </c>
      <c r="J12" s="339">
        <f>2508.73</f>
        <v>2508.73</v>
      </c>
      <c r="K12" s="340">
        <f t="shared" si="0"/>
        <v>0.2969028851575509</v>
      </c>
      <c r="L12" s="340">
        <f t="shared" si="1"/>
        <v>55.62019264414322</v>
      </c>
      <c r="M12" s="340">
        <f t="shared" si="2"/>
        <v>0.6491428942577582</v>
      </c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</row>
    <row r="13" spans="2:27" ht="22.5" customHeight="1">
      <c r="B13" s="343" t="s">
        <v>511</v>
      </c>
      <c r="C13" s="339">
        <f>480735174.66</f>
        <v>480735174.66</v>
      </c>
      <c r="D13" s="358">
        <f>262304609.8</f>
        <v>262304609.8</v>
      </c>
      <c r="E13" s="339">
        <f>259448308.25</f>
        <v>259448308.25</v>
      </c>
      <c r="F13" s="339">
        <f>130391303.01</f>
        <v>130391303.01</v>
      </c>
      <c r="G13" s="339">
        <f>2135330.93</f>
        <v>2135330.93</v>
      </c>
      <c r="H13" s="339">
        <f>2550998.25</f>
        <v>2550998.25</v>
      </c>
      <c r="I13" s="339">
        <f>6859316.77</f>
        <v>6859316.77</v>
      </c>
      <c r="J13" s="339">
        <f>43799.18</f>
        <v>43799.18</v>
      </c>
      <c r="K13" s="340">
        <f t="shared" si="0"/>
        <v>0.8368398222850922</v>
      </c>
      <c r="L13" s="340">
        <f t="shared" si="1"/>
        <v>54.56322391751653</v>
      </c>
      <c r="M13" s="340">
        <f t="shared" si="2"/>
        <v>1.8296508771884437</v>
      </c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</row>
    <row r="14" spans="2:27" ht="33" customHeight="1">
      <c r="B14" s="343" t="s">
        <v>512</v>
      </c>
      <c r="C14" s="339">
        <f>51447346</f>
        <v>51447346</v>
      </c>
      <c r="D14" s="358">
        <f>19930865.86</f>
        <v>19930865.86</v>
      </c>
      <c r="E14" s="339">
        <f>19953010.12</f>
        <v>19953010.12</v>
      </c>
      <c r="F14" s="339">
        <f>1416</f>
        <v>1416</v>
      </c>
      <c r="G14" s="339">
        <f>1492</f>
        <v>1492</v>
      </c>
      <c r="H14" s="339">
        <f>106245.9</f>
        <v>106245.9</v>
      </c>
      <c r="I14" s="339">
        <f>173134.93</f>
        <v>173134.93</v>
      </c>
      <c r="J14" s="339">
        <f>0</f>
        <v>0</v>
      </c>
      <c r="K14" s="340">
        <f t="shared" si="0"/>
        <v>0.06358615754785112</v>
      </c>
      <c r="L14" s="340">
        <f t="shared" si="1"/>
        <v>38.740318810614646</v>
      </c>
      <c r="M14" s="340">
        <f t="shared" si="2"/>
        <v>0.13902358113980123</v>
      </c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</row>
    <row r="15" spans="2:27" ht="22.5" customHeight="1">
      <c r="B15" s="343" t="s">
        <v>513</v>
      </c>
      <c r="C15" s="339">
        <f>80218874</f>
        <v>80218874</v>
      </c>
      <c r="D15" s="358">
        <f>58852650.29</f>
        <v>58852650.29</v>
      </c>
      <c r="E15" s="339">
        <f>56645279.15</f>
        <v>56645279.15</v>
      </c>
      <c r="F15" s="339">
        <f>0</f>
        <v>0</v>
      </c>
      <c r="G15" s="339">
        <f>373779</f>
        <v>373779</v>
      </c>
      <c r="H15" s="339">
        <f>3119280.69</f>
        <v>3119280.69</v>
      </c>
      <c r="I15" s="339">
        <f>4650672.04</f>
        <v>4650672.04</v>
      </c>
      <c r="J15" s="339">
        <f>0</f>
        <v>0</v>
      </c>
      <c r="K15" s="340">
        <f t="shared" si="0"/>
        <v>0.1877597250282495</v>
      </c>
      <c r="L15" s="340">
        <f t="shared" si="1"/>
        <v>73.36509147460734</v>
      </c>
      <c r="M15" s="340">
        <f t="shared" si="2"/>
        <v>0.41051433792973013</v>
      </c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</row>
    <row r="16" spans="2:27" ht="22.5" customHeight="1">
      <c r="B16" s="343" t="s">
        <v>514</v>
      </c>
      <c r="C16" s="339">
        <f>698154253.37</f>
        <v>698154253.37</v>
      </c>
      <c r="D16" s="358">
        <f>458225445.77</f>
        <v>458225445.77</v>
      </c>
      <c r="E16" s="339">
        <f>449802841.1</f>
        <v>449802841.1</v>
      </c>
      <c r="F16" s="339">
        <f>0</f>
        <v>0</v>
      </c>
      <c r="G16" s="339">
        <f>30900.67</f>
        <v>30900.67</v>
      </c>
      <c r="H16" s="339">
        <f>119563.84</f>
        <v>119563.84</v>
      </c>
      <c r="I16" s="339">
        <f>181689.21</f>
        <v>181689.21</v>
      </c>
      <c r="J16" s="339">
        <f>0</f>
        <v>0</v>
      </c>
      <c r="K16" s="340">
        <f t="shared" si="0"/>
        <v>1.461893105489273</v>
      </c>
      <c r="L16" s="340">
        <f t="shared" si="1"/>
        <v>65.63384002290891</v>
      </c>
      <c r="M16" s="340">
        <f t="shared" si="2"/>
        <v>3.1962556412653105</v>
      </c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</row>
    <row r="17" spans="2:27" ht="13.5" customHeight="1">
      <c r="B17" s="343" t="s">
        <v>515</v>
      </c>
      <c r="C17" s="339">
        <f>287250812.79</f>
        <v>287250812.79</v>
      </c>
      <c r="D17" s="358">
        <f>147588232.28</f>
        <v>147588232.28</v>
      </c>
      <c r="E17" s="339">
        <f>146723295.54</f>
        <v>146723295.54</v>
      </c>
      <c r="F17" s="339">
        <f>0</f>
        <v>0</v>
      </c>
      <c r="G17" s="339">
        <f>1694</f>
        <v>1694</v>
      </c>
      <c r="H17" s="339">
        <f>17870.3</f>
        <v>17870.3</v>
      </c>
      <c r="I17" s="339">
        <f>311163</f>
        <v>311163</v>
      </c>
      <c r="J17" s="339">
        <f>0</f>
        <v>0</v>
      </c>
      <c r="K17" s="340">
        <f t="shared" si="0"/>
        <v>0.47085604087071636</v>
      </c>
      <c r="L17" s="340">
        <f t="shared" si="1"/>
        <v>51.379569946734</v>
      </c>
      <c r="M17" s="340">
        <f t="shared" si="2"/>
        <v>1.0294708082320319</v>
      </c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</row>
    <row r="18" spans="2:27" ht="22.5" customHeight="1">
      <c r="B18" s="343" t="s">
        <v>516</v>
      </c>
      <c r="C18" s="339">
        <f>212679921.2</f>
        <v>212679921.2</v>
      </c>
      <c r="D18" s="358">
        <f>107986602.51</f>
        <v>107986602.51</v>
      </c>
      <c r="E18" s="339">
        <f>107906155.69</f>
        <v>107906155.69</v>
      </c>
      <c r="F18" s="339">
        <f>0</f>
        <v>0</v>
      </c>
      <c r="G18" s="339">
        <f>0</f>
        <v>0</v>
      </c>
      <c r="H18" s="339">
        <f>44473.43</f>
        <v>44473.43</v>
      </c>
      <c r="I18" s="339">
        <f>49515</f>
        <v>49515</v>
      </c>
      <c r="J18" s="339">
        <f>0</f>
        <v>0</v>
      </c>
      <c r="K18" s="340">
        <f t="shared" si="0"/>
        <v>0.344513538372589</v>
      </c>
      <c r="L18" s="340">
        <f t="shared" si="1"/>
        <v>50.774234775294815</v>
      </c>
      <c r="M18" s="340">
        <f t="shared" si="2"/>
        <v>0.7532379326374358</v>
      </c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</row>
    <row r="19" spans="2:27" ht="13.5" customHeight="1">
      <c r="B19" s="343" t="s">
        <v>517</v>
      </c>
      <c r="C19" s="339">
        <f>145211210</f>
        <v>145211210</v>
      </c>
      <c r="D19" s="358">
        <f>66806610.42</f>
        <v>66806610.42</v>
      </c>
      <c r="E19" s="339">
        <f>66529720.42</f>
        <v>66529720.42</v>
      </c>
      <c r="F19" s="339">
        <f>6430320.56</f>
        <v>6430320.56</v>
      </c>
      <c r="G19" s="339">
        <f>1423.2</f>
        <v>1423.2</v>
      </c>
      <c r="H19" s="339">
        <f>200432.14</f>
        <v>200432.14</v>
      </c>
      <c r="I19" s="339">
        <f>9476.4</f>
        <v>9476.4</v>
      </c>
      <c r="J19" s="339">
        <f>0</f>
        <v>0</v>
      </c>
      <c r="K19" s="340">
        <f t="shared" si="0"/>
        <v>0.21313552984817652</v>
      </c>
      <c r="L19" s="340">
        <f t="shared" si="1"/>
        <v>46.00651039268938</v>
      </c>
      <c r="M19" s="340">
        <f t="shared" si="2"/>
        <v>0.46599552120009907</v>
      </c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</row>
    <row r="20" spans="2:27" ht="13.5" customHeight="1">
      <c r="B20" s="343" t="s">
        <v>518</v>
      </c>
      <c r="C20" s="339">
        <f>3213249527.82</f>
        <v>3213249527.82</v>
      </c>
      <c r="D20" s="358">
        <f>1309158961.79</f>
        <v>1309158961.79</v>
      </c>
      <c r="E20" s="339">
        <f>1299944240.92</f>
        <v>1299944240.92</v>
      </c>
      <c r="F20" s="339">
        <f>0</f>
        <v>0</v>
      </c>
      <c r="G20" s="339">
        <f>44745.63</f>
        <v>44745.63</v>
      </c>
      <c r="H20" s="339">
        <f>13534.5</f>
        <v>13534.5</v>
      </c>
      <c r="I20" s="339">
        <f>2292</f>
        <v>2292</v>
      </c>
      <c r="J20" s="339">
        <f>2384.26</f>
        <v>2384.26</v>
      </c>
      <c r="K20" s="340">
        <f t="shared" si="0"/>
        <v>4.176656879048412</v>
      </c>
      <c r="L20" s="340">
        <f t="shared" si="1"/>
        <v>40.7425240540901</v>
      </c>
      <c r="M20" s="340">
        <f t="shared" si="2"/>
        <v>9.131764190665724</v>
      </c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</row>
    <row r="21" spans="2:27" ht="13.5" customHeight="1">
      <c r="B21" s="343" t="s">
        <v>519</v>
      </c>
      <c r="C21" s="339">
        <f aca="true" t="shared" si="3" ref="C21:J21">C7-C8-C9-C10-C11-C12-C13-C14-C15-C16-C17-C18-C19-C20</f>
        <v>5472884476.17</v>
      </c>
      <c r="D21" s="339">
        <f t="shared" si="3"/>
        <v>2223880389.119998</v>
      </c>
      <c r="E21" s="339">
        <f t="shared" si="3"/>
        <v>2205398240.469999</v>
      </c>
      <c r="F21" s="339">
        <f t="shared" si="3"/>
        <v>3612900.3399999617</v>
      </c>
      <c r="G21" s="339">
        <f t="shared" si="3"/>
        <v>939061.5000000154</v>
      </c>
      <c r="H21" s="339">
        <f t="shared" si="3"/>
        <v>9059717.120000005</v>
      </c>
      <c r="I21" s="339">
        <f t="shared" si="3"/>
        <v>5218905.209999995</v>
      </c>
      <c r="J21" s="339">
        <f t="shared" si="3"/>
        <v>1135332.4800000004</v>
      </c>
      <c r="K21" s="340">
        <f t="shared" si="0"/>
        <v>7.094925518211311</v>
      </c>
      <c r="L21" s="340">
        <f t="shared" si="1"/>
        <v>40.63452095148736</v>
      </c>
      <c r="M21" s="340">
        <f t="shared" si="2"/>
        <v>15.512211957761718</v>
      </c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</row>
    <row r="22" spans="2:27" ht="25.5" customHeight="1">
      <c r="B22" s="353" t="s">
        <v>520</v>
      </c>
      <c r="C22" s="357">
        <f>C23+C25+C27+C29+C31</f>
        <v>11103192316.859999</v>
      </c>
      <c r="D22" s="357">
        <f>D23+D25+D27+D29+D31</f>
        <v>5424976810.95</v>
      </c>
      <c r="E22" s="357">
        <f>E23+E25+E27+E29+E31</f>
        <v>5391131199.16</v>
      </c>
      <c r="F22" s="339" t="s">
        <v>521</v>
      </c>
      <c r="G22" s="339" t="s">
        <v>521</v>
      </c>
      <c r="H22" s="339" t="s">
        <v>521</v>
      </c>
      <c r="I22" s="339" t="s">
        <v>521</v>
      </c>
      <c r="J22" s="339" t="s">
        <v>521</v>
      </c>
      <c r="K22" s="338">
        <f t="shared" si="0"/>
        <v>17.307498460807242</v>
      </c>
      <c r="L22" s="338">
        <f t="shared" si="1"/>
        <v>48.85961312866994</v>
      </c>
      <c r="M22" s="342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</row>
    <row r="23" spans="2:27" ht="22.5" customHeight="1">
      <c r="B23" s="343" t="s">
        <v>522</v>
      </c>
      <c r="C23" s="339">
        <f>8104119530.56</f>
        <v>8104119530.56</v>
      </c>
      <c r="D23" s="339">
        <f>4121608203.91</f>
        <v>4121608203.91</v>
      </c>
      <c r="E23" s="339">
        <f>4100134889.84</f>
        <v>4100134889.84</v>
      </c>
      <c r="F23" s="339" t="s">
        <v>521</v>
      </c>
      <c r="G23" s="339" t="s">
        <v>521</v>
      </c>
      <c r="H23" s="339" t="s">
        <v>521</v>
      </c>
      <c r="I23" s="339" t="s">
        <v>521</v>
      </c>
      <c r="J23" s="339" t="s">
        <v>521</v>
      </c>
      <c r="K23" s="340">
        <f t="shared" si="0"/>
        <v>13.149314758588062</v>
      </c>
      <c r="L23" s="340">
        <f t="shared" si="1"/>
        <v>50.858186239328504</v>
      </c>
      <c r="M23" s="342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</row>
    <row r="24" spans="2:27" ht="13.5" customHeight="1">
      <c r="B24" s="359" t="s">
        <v>523</v>
      </c>
      <c r="C24" s="339">
        <f>4455206</f>
        <v>4455206</v>
      </c>
      <c r="D24" s="339">
        <f>1296867.25</f>
        <v>1296867.25</v>
      </c>
      <c r="E24" s="339">
        <f>1296867.25</f>
        <v>1296867.25</v>
      </c>
      <c r="F24" s="339" t="s">
        <v>521</v>
      </c>
      <c r="G24" s="339" t="s">
        <v>521</v>
      </c>
      <c r="H24" s="339" t="s">
        <v>521</v>
      </c>
      <c r="I24" s="339" t="s">
        <v>521</v>
      </c>
      <c r="J24" s="339" t="s">
        <v>521</v>
      </c>
      <c r="K24" s="340">
        <f t="shared" si="0"/>
        <v>0.004137442189235045</v>
      </c>
      <c r="L24" s="340">
        <f t="shared" si="1"/>
        <v>29.109029975269383</v>
      </c>
      <c r="M24" s="342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</row>
    <row r="25" spans="2:27" ht="13.5" customHeight="1">
      <c r="B25" s="343" t="s">
        <v>524</v>
      </c>
      <c r="C25" s="339">
        <f>2286665791.17</f>
        <v>2286665791.17</v>
      </c>
      <c r="D25" s="339">
        <f>1113675452.51</f>
        <v>1113675452.51</v>
      </c>
      <c r="E25" s="339">
        <f>1106577668.75</f>
        <v>1106577668.75</v>
      </c>
      <c r="F25" s="339" t="s">
        <v>521</v>
      </c>
      <c r="G25" s="339" t="s">
        <v>521</v>
      </c>
      <c r="H25" s="339" t="s">
        <v>521</v>
      </c>
      <c r="I25" s="339" t="s">
        <v>521</v>
      </c>
      <c r="J25" s="339" t="s">
        <v>521</v>
      </c>
      <c r="K25" s="340">
        <f t="shared" si="0"/>
        <v>3.5529988148982126</v>
      </c>
      <c r="L25" s="340">
        <f t="shared" si="1"/>
        <v>48.70302677420011</v>
      </c>
      <c r="M25" s="342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</row>
    <row r="26" spans="2:27" ht="13.5" customHeight="1">
      <c r="B26" s="359" t="s">
        <v>523</v>
      </c>
      <c r="C26" s="339">
        <f>660389855.84</f>
        <v>660389855.84</v>
      </c>
      <c r="D26" s="339">
        <f>68319184.94</f>
        <v>68319184.94</v>
      </c>
      <c r="E26" s="339">
        <f>68180495.16</f>
        <v>68180495.16</v>
      </c>
      <c r="F26" s="339" t="s">
        <v>521</v>
      </c>
      <c r="G26" s="339" t="s">
        <v>521</v>
      </c>
      <c r="H26" s="339" t="s">
        <v>521</v>
      </c>
      <c r="I26" s="339" t="s">
        <v>521</v>
      </c>
      <c r="J26" s="339" t="s">
        <v>521</v>
      </c>
      <c r="K26" s="340">
        <f t="shared" si="0"/>
        <v>0.21796115069210634</v>
      </c>
      <c r="L26" s="340">
        <f t="shared" si="1"/>
        <v>10.345280796765062</v>
      </c>
      <c r="M26" s="342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</row>
    <row r="27" spans="2:27" ht="33" customHeight="1">
      <c r="B27" s="343" t="s">
        <v>525</v>
      </c>
      <c r="C27" s="339">
        <f>77441667.12</f>
        <v>77441667.12</v>
      </c>
      <c r="D27" s="339">
        <f>9658392.29</f>
        <v>9658392.29</v>
      </c>
      <c r="E27" s="339">
        <f>9642517.29</f>
        <v>9642517.29</v>
      </c>
      <c r="F27" s="339" t="s">
        <v>521</v>
      </c>
      <c r="G27" s="339" t="s">
        <v>521</v>
      </c>
      <c r="H27" s="339" t="s">
        <v>521</v>
      </c>
      <c r="I27" s="339" t="s">
        <v>521</v>
      </c>
      <c r="J27" s="339" t="s">
        <v>521</v>
      </c>
      <c r="K27" s="340">
        <f t="shared" si="0"/>
        <v>0.03081351598695123</v>
      </c>
      <c r="L27" s="340">
        <f t="shared" si="1"/>
        <v>12.471828989726943</v>
      </c>
      <c r="M27" s="342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</row>
    <row r="28" spans="2:27" ht="13.5" customHeight="1">
      <c r="B28" s="359" t="s">
        <v>523</v>
      </c>
      <c r="C28" s="339">
        <f>31802582</f>
        <v>31802582</v>
      </c>
      <c r="D28" s="339">
        <f>5269063.16</f>
        <v>5269063.16</v>
      </c>
      <c r="E28" s="339">
        <f>5269063.16</f>
        <v>5269063.16</v>
      </c>
      <c r="F28" s="339" t="s">
        <v>521</v>
      </c>
      <c r="G28" s="339" t="s">
        <v>521</v>
      </c>
      <c r="H28" s="339" t="s">
        <v>521</v>
      </c>
      <c r="I28" s="339" t="s">
        <v>521</v>
      </c>
      <c r="J28" s="339" t="s">
        <v>521</v>
      </c>
      <c r="K28" s="340">
        <f t="shared" si="0"/>
        <v>0.016810081537588464</v>
      </c>
      <c r="L28" s="340">
        <f t="shared" si="1"/>
        <v>16.568035765146366</v>
      </c>
      <c r="M28" s="342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</row>
    <row r="29" spans="2:27" ht="33" customHeight="1">
      <c r="B29" s="343" t="s">
        <v>526</v>
      </c>
      <c r="C29" s="339">
        <f>295402884.13</f>
        <v>295402884.13</v>
      </c>
      <c r="D29" s="339">
        <f>89637185.25</f>
        <v>89637185.25</v>
      </c>
      <c r="E29" s="339">
        <f>90084645.49</f>
        <v>90084645.49</v>
      </c>
      <c r="F29" s="339" t="s">
        <v>521</v>
      </c>
      <c r="G29" s="339" t="s">
        <v>521</v>
      </c>
      <c r="H29" s="339" t="s">
        <v>521</v>
      </c>
      <c r="I29" s="339" t="s">
        <v>521</v>
      </c>
      <c r="J29" s="339" t="s">
        <v>521</v>
      </c>
      <c r="K29" s="338">
        <f t="shared" si="0"/>
        <v>0.28597273312100935</v>
      </c>
      <c r="L29" s="340">
        <f t="shared" si="1"/>
        <v>30.34404539210685</v>
      </c>
      <c r="M29" s="342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</row>
    <row r="30" spans="2:27" ht="13.5" customHeight="1">
      <c r="B30" s="359" t="s">
        <v>523</v>
      </c>
      <c r="C30" s="339">
        <f>163018763.34</f>
        <v>163018763.34</v>
      </c>
      <c r="D30" s="339">
        <f>23811573.83</f>
        <v>23811573.83</v>
      </c>
      <c r="E30" s="339">
        <f>23776573.83</f>
        <v>23776573.83</v>
      </c>
      <c r="F30" s="339" t="s">
        <v>521</v>
      </c>
      <c r="G30" s="339" t="s">
        <v>521</v>
      </c>
      <c r="H30" s="339" t="s">
        <v>521</v>
      </c>
      <c r="I30" s="339" t="s">
        <v>521</v>
      </c>
      <c r="J30" s="339" t="s">
        <v>521</v>
      </c>
      <c r="K30" s="340">
        <f t="shared" si="0"/>
        <v>0.07596691963369968</v>
      </c>
      <c r="L30" s="340">
        <f t="shared" si="1"/>
        <v>14.606646095294812</v>
      </c>
      <c r="M30" s="342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</row>
    <row r="31" spans="2:27" ht="22.5" customHeight="1">
      <c r="B31" s="343" t="s">
        <v>527</v>
      </c>
      <c r="C31" s="339">
        <f>339562443.88</f>
        <v>339562443.88</v>
      </c>
      <c r="D31" s="339">
        <f>90397576.99</f>
        <v>90397576.99</v>
      </c>
      <c r="E31" s="339">
        <f>84691477.79</f>
        <v>84691477.79</v>
      </c>
      <c r="F31" s="339" t="s">
        <v>521</v>
      </c>
      <c r="G31" s="339" t="s">
        <v>521</v>
      </c>
      <c r="H31" s="339" t="s">
        <v>521</v>
      </c>
      <c r="I31" s="339" t="s">
        <v>521</v>
      </c>
      <c r="J31" s="339" t="s">
        <v>521</v>
      </c>
      <c r="K31" s="340">
        <f t="shared" si="0"/>
        <v>0.28839863821300843</v>
      </c>
      <c r="L31" s="340">
        <f t="shared" si="1"/>
        <v>26.62178300906155</v>
      </c>
      <c r="M31" s="342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</row>
    <row r="32" spans="2:27" ht="13.5" customHeight="1">
      <c r="B32" s="359" t="s">
        <v>523</v>
      </c>
      <c r="C32" s="339">
        <f>293076204.54</f>
        <v>293076204.54</v>
      </c>
      <c r="D32" s="339">
        <f>69448615.76</f>
        <v>69448615.76</v>
      </c>
      <c r="E32" s="339">
        <f>63963713.44</f>
        <v>63963713.44</v>
      </c>
      <c r="F32" s="339" t="s">
        <v>521</v>
      </c>
      <c r="G32" s="339" t="s">
        <v>521</v>
      </c>
      <c r="H32" s="339" t="s">
        <v>521</v>
      </c>
      <c r="I32" s="339" t="s">
        <v>521</v>
      </c>
      <c r="J32" s="339" t="s">
        <v>521</v>
      </c>
      <c r="K32" s="340">
        <f t="shared" si="0"/>
        <v>0.22156441442206048</v>
      </c>
      <c r="L32" s="340">
        <f t="shared" si="1"/>
        <v>23.69643617741113</v>
      </c>
      <c r="M32" s="342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</row>
    <row r="33" spans="2:13" s="341" customFormat="1" ht="25.5" customHeight="1">
      <c r="B33" s="353" t="s">
        <v>528</v>
      </c>
      <c r="C33" s="357">
        <f>C34+C35+C36+C37+C38</f>
        <v>19819602840</v>
      </c>
      <c r="D33" s="357">
        <f>D34+D35+D36+D37+D38</f>
        <v>11583364431.64</v>
      </c>
      <c r="E33" s="357">
        <f>E34+E35+E36+E37+E38</f>
        <v>11005495925.189999</v>
      </c>
      <c r="F33" s="339" t="s">
        <v>521</v>
      </c>
      <c r="G33" s="339" t="s">
        <v>521</v>
      </c>
      <c r="H33" s="339" t="s">
        <v>521</v>
      </c>
      <c r="I33" s="339" t="s">
        <v>521</v>
      </c>
      <c r="J33" s="339" t="s">
        <v>521</v>
      </c>
      <c r="K33" s="338">
        <f t="shared" si="0"/>
        <v>36.95482378227375</v>
      </c>
      <c r="L33" s="338">
        <f t="shared" si="1"/>
        <v>58.44397854563669</v>
      </c>
      <c r="M33" s="342"/>
    </row>
    <row r="34" spans="2:27" ht="13.5" customHeight="1">
      <c r="B34" s="343" t="s">
        <v>529</v>
      </c>
      <c r="C34" s="339">
        <f>5040362596</f>
        <v>5040362596</v>
      </c>
      <c r="D34" s="339">
        <f>2520127150</f>
        <v>2520127150</v>
      </c>
      <c r="E34" s="339">
        <f>2517495900</f>
        <v>2517495900</v>
      </c>
      <c r="F34" s="339" t="s">
        <v>521</v>
      </c>
      <c r="G34" s="339" t="s">
        <v>521</v>
      </c>
      <c r="H34" s="339" t="s">
        <v>521</v>
      </c>
      <c r="I34" s="339" t="s">
        <v>521</v>
      </c>
      <c r="J34" s="339" t="s">
        <v>521</v>
      </c>
      <c r="K34" s="340">
        <f t="shared" si="0"/>
        <v>8.04005220476242</v>
      </c>
      <c r="L34" s="340">
        <f t="shared" si="1"/>
        <v>49.99892571220882</v>
      </c>
      <c r="M34" s="342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</row>
    <row r="35" spans="2:27" ht="13.5" customHeight="1">
      <c r="B35" s="343" t="s">
        <v>530</v>
      </c>
      <c r="C35" s="339">
        <f>14387720353</f>
        <v>14387720353</v>
      </c>
      <c r="D35" s="339">
        <f>8869292620.64</f>
        <v>8869292620.64</v>
      </c>
      <c r="E35" s="339">
        <f>8294623232.19</f>
        <v>8294623232.19</v>
      </c>
      <c r="F35" s="339" t="s">
        <v>521</v>
      </c>
      <c r="G35" s="339" t="s">
        <v>521</v>
      </c>
      <c r="H35" s="339" t="s">
        <v>521</v>
      </c>
      <c r="I35" s="339" t="s">
        <v>521</v>
      </c>
      <c r="J35" s="339" t="s">
        <v>521</v>
      </c>
      <c r="K35" s="340">
        <f t="shared" si="0"/>
        <v>28.29602295632571</v>
      </c>
      <c r="L35" s="340">
        <f t="shared" si="1"/>
        <v>61.644877736247174</v>
      </c>
      <c r="M35" s="342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</row>
    <row r="36" spans="2:27" ht="13.5" customHeight="1">
      <c r="B36" s="343" t="s">
        <v>531</v>
      </c>
      <c r="C36" s="339">
        <f>4037411</f>
        <v>4037411</v>
      </c>
      <c r="D36" s="339">
        <f>83780</f>
        <v>83780</v>
      </c>
      <c r="E36" s="339">
        <f>83780</f>
        <v>83780</v>
      </c>
      <c r="F36" s="339" t="s">
        <v>521</v>
      </c>
      <c r="G36" s="339" t="s">
        <v>521</v>
      </c>
      <c r="H36" s="339" t="s">
        <v>521</v>
      </c>
      <c r="I36" s="339" t="s">
        <v>521</v>
      </c>
      <c r="J36" s="339" t="s">
        <v>521</v>
      </c>
      <c r="K36" s="340">
        <f t="shared" si="0"/>
        <v>0.0002672863445461454</v>
      </c>
      <c r="L36" s="340">
        <f t="shared" si="1"/>
        <v>2.075092181598554</v>
      </c>
      <c r="M36" s="342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</row>
    <row r="37" spans="2:27" ht="13.5" customHeight="1">
      <c r="B37" s="343" t="s">
        <v>532</v>
      </c>
      <c r="C37" s="339">
        <f>387391461</f>
        <v>387391461</v>
      </c>
      <c r="D37" s="339">
        <f>193858964</f>
        <v>193858964</v>
      </c>
      <c r="E37" s="339">
        <f>193291096</f>
        <v>193291096</v>
      </c>
      <c r="F37" s="339" t="s">
        <v>521</v>
      </c>
      <c r="G37" s="339" t="s">
        <v>521</v>
      </c>
      <c r="H37" s="339" t="s">
        <v>521</v>
      </c>
      <c r="I37" s="339" t="s">
        <v>521</v>
      </c>
      <c r="J37" s="339" t="s">
        <v>521</v>
      </c>
      <c r="K37" s="340">
        <f t="shared" si="0"/>
        <v>0.61847521896709</v>
      </c>
      <c r="L37" s="340">
        <f t="shared" si="1"/>
        <v>50.04213657667586</v>
      </c>
      <c r="M37" s="342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</row>
    <row r="38" spans="2:13" s="341" customFormat="1" ht="22.5" customHeight="1">
      <c r="B38" s="343" t="s">
        <v>534</v>
      </c>
      <c r="C38" s="339">
        <f>91019</f>
        <v>91019</v>
      </c>
      <c r="D38" s="339">
        <f>1917</f>
        <v>1917</v>
      </c>
      <c r="E38" s="339">
        <f>1917</f>
        <v>1917</v>
      </c>
      <c r="F38" s="339" t="s">
        <v>521</v>
      </c>
      <c r="G38" s="339" t="s">
        <v>521</v>
      </c>
      <c r="H38" s="339" t="s">
        <v>521</v>
      </c>
      <c r="I38" s="339" t="s">
        <v>521</v>
      </c>
      <c r="J38" s="339" t="s">
        <v>521</v>
      </c>
      <c r="K38" s="340">
        <f t="shared" si="0"/>
        <v>6.115873985377903E-06</v>
      </c>
      <c r="L38" s="340">
        <f t="shared" si="1"/>
        <v>2.106153660224788</v>
      </c>
      <c r="M38" s="342"/>
    </row>
    <row r="39" spans="1:13" s="341" customFormat="1" ht="13.5" customHeight="1">
      <c r="A39" s="344"/>
      <c r="B39" s="345"/>
      <c r="C39" s="346"/>
      <c r="D39" s="347"/>
      <c r="E39" s="347"/>
      <c r="F39" s="348"/>
      <c r="G39" s="348"/>
      <c r="H39" s="348"/>
      <c r="I39" s="348"/>
      <c r="J39" s="348"/>
      <c r="K39" s="349"/>
      <c r="L39" s="349"/>
      <c r="M39" s="350"/>
    </row>
    <row r="40" spans="1:13" s="341" customFormat="1" ht="13.5" customHeight="1">
      <c r="A40" s="344"/>
      <c r="B40" s="345"/>
      <c r="C40" s="346"/>
      <c r="D40" s="347"/>
      <c r="E40" s="347"/>
      <c r="F40" s="348"/>
      <c r="G40" s="348"/>
      <c r="H40" s="348"/>
      <c r="I40" s="348"/>
      <c r="J40" s="348"/>
      <c r="K40" s="349"/>
      <c r="L40" s="349"/>
      <c r="M40" s="350"/>
    </row>
    <row r="41" spans="2:27" ht="75" customHeight="1">
      <c r="B41" s="725" t="str">
        <f>CONCATENATE("Informacja z wykonania budżetów gmin za ",$D$94," ",$C$95," roku")</f>
        <v>Informacja z wykonania budżetów gmin za 2 kwartały 2008 roku</v>
      </c>
      <c r="C41" s="725"/>
      <c r="D41" s="725"/>
      <c r="E41" s="725"/>
      <c r="F41" s="725"/>
      <c r="G41" s="725"/>
      <c r="H41" s="725"/>
      <c r="I41" s="725"/>
      <c r="J41" s="725"/>
      <c r="K41" s="725"/>
      <c r="L41" s="725"/>
      <c r="M41" s="725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</row>
    <row r="42" spans="2:13" s="341" customFormat="1" ht="13.5" customHeight="1">
      <c r="B42" s="351"/>
      <c r="C42" s="346"/>
      <c r="D42" s="347"/>
      <c r="E42" s="347"/>
      <c r="F42" s="352"/>
      <c r="G42" s="352"/>
      <c r="H42" s="352"/>
      <c r="I42" s="352"/>
      <c r="J42" s="352"/>
      <c r="K42" s="349"/>
      <c r="L42" s="349"/>
      <c r="M42" s="350"/>
    </row>
    <row r="43" spans="2:27" ht="29.25" customHeight="1">
      <c r="B43" s="727" t="s">
        <v>500</v>
      </c>
      <c r="C43" s="726" t="s">
        <v>597</v>
      </c>
      <c r="D43" s="726" t="s">
        <v>598</v>
      </c>
      <c r="E43" s="726" t="s">
        <v>599</v>
      </c>
      <c r="F43" s="726" t="s">
        <v>535</v>
      </c>
      <c r="G43" s="726"/>
      <c r="H43" s="726"/>
      <c r="I43" s="726" t="s">
        <v>600</v>
      </c>
      <c r="J43" s="726"/>
      <c r="K43" s="726" t="s">
        <v>501</v>
      </c>
      <c r="L43" s="740" t="s">
        <v>536</v>
      </c>
      <c r="M43" s="34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</row>
    <row r="44" spans="2:27" ht="18" customHeight="1">
      <c r="B44" s="727"/>
      <c r="C44" s="726"/>
      <c r="D44" s="731"/>
      <c r="E44" s="726"/>
      <c r="F44" s="738" t="s">
        <v>601</v>
      </c>
      <c r="G44" s="739" t="s">
        <v>537</v>
      </c>
      <c r="H44" s="731"/>
      <c r="I44" s="726"/>
      <c r="J44" s="726"/>
      <c r="K44" s="726"/>
      <c r="L44" s="740"/>
      <c r="M44" s="362"/>
      <c r="N44" s="363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</row>
    <row r="45" spans="2:27" ht="36" customHeight="1">
      <c r="B45" s="727"/>
      <c r="C45" s="726"/>
      <c r="D45" s="731"/>
      <c r="E45" s="726"/>
      <c r="F45" s="731"/>
      <c r="G45" s="360" t="s">
        <v>602</v>
      </c>
      <c r="H45" s="360" t="s">
        <v>603</v>
      </c>
      <c r="I45" s="726"/>
      <c r="J45" s="726"/>
      <c r="K45" s="726"/>
      <c r="L45" s="740"/>
      <c r="M45" s="362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</row>
    <row r="46" spans="2:27" ht="13.5" customHeight="1">
      <c r="B46" s="727"/>
      <c r="C46" s="724"/>
      <c r="D46" s="724"/>
      <c r="E46" s="724"/>
      <c r="F46" s="724"/>
      <c r="G46" s="724"/>
      <c r="H46" s="724"/>
      <c r="I46" s="724"/>
      <c r="J46" s="724"/>
      <c r="K46" s="724" t="s">
        <v>12</v>
      </c>
      <c r="L46" s="724"/>
      <c r="M46" s="341"/>
      <c r="N46" s="34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</row>
    <row r="47" spans="2:27" ht="11.25" customHeight="1">
      <c r="B47" s="355">
        <v>1</v>
      </c>
      <c r="C47" s="356">
        <v>2</v>
      </c>
      <c r="D47" s="356">
        <v>3</v>
      </c>
      <c r="E47" s="356">
        <v>4</v>
      </c>
      <c r="F47" s="355">
        <v>5</v>
      </c>
      <c r="G47" s="355">
        <v>6</v>
      </c>
      <c r="H47" s="356">
        <v>7</v>
      </c>
      <c r="I47" s="731">
        <v>8</v>
      </c>
      <c r="J47" s="731"/>
      <c r="K47" s="355">
        <v>9</v>
      </c>
      <c r="L47" s="356">
        <v>10</v>
      </c>
      <c r="M47" s="34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</row>
    <row r="48" spans="2:27" ht="25.5" customHeight="1">
      <c r="B48" s="353" t="s">
        <v>538</v>
      </c>
      <c r="C48" s="364">
        <f>68822660528.87</f>
        <v>68822660528.87</v>
      </c>
      <c r="D48" s="364">
        <f>43104279835.2</f>
        <v>43104279835.2</v>
      </c>
      <c r="E48" s="364">
        <f>26951007851.09</f>
        <v>26951007851.09</v>
      </c>
      <c r="F48" s="364">
        <f>1197266218.93</f>
        <v>1197266218.93</v>
      </c>
      <c r="G48" s="364">
        <f>16918103.4</f>
        <v>16918103.4</v>
      </c>
      <c r="H48" s="364">
        <f>33882006.05</f>
        <v>33882006.05</v>
      </c>
      <c r="I48" s="733">
        <f>64</f>
        <v>64</v>
      </c>
      <c r="J48" s="733"/>
      <c r="K48" s="365">
        <f aca="true" t="shared" si="4" ref="K48:K58">IF($E$48=0,"",100*$E48/$E$48)</f>
        <v>100</v>
      </c>
      <c r="L48" s="365">
        <f aca="true" t="shared" si="5" ref="L48:L58">IF(C48=0,"",100*E48/C48)</f>
        <v>39.16007844507041</v>
      </c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</row>
    <row r="49" spans="2:27" ht="24" customHeight="1">
      <c r="B49" s="353" t="s">
        <v>539</v>
      </c>
      <c r="C49" s="366">
        <f>18271339784.35</f>
        <v>18271339784.35</v>
      </c>
      <c r="D49" s="366">
        <f>6621402001.44</f>
        <v>6621402001.44</v>
      </c>
      <c r="E49" s="366">
        <f>2930974954.27</f>
        <v>2930974954.27</v>
      </c>
      <c r="F49" s="366">
        <f>442711772.24</f>
        <v>442711772.24</v>
      </c>
      <c r="G49" s="366">
        <f>8647426.23</f>
        <v>8647426.23</v>
      </c>
      <c r="H49" s="366">
        <f>10238828.26</f>
        <v>10238828.26</v>
      </c>
      <c r="I49" s="746">
        <f>0</f>
        <v>0</v>
      </c>
      <c r="J49" s="746"/>
      <c r="K49" s="365">
        <f t="shared" si="4"/>
        <v>10.875196098284169</v>
      </c>
      <c r="L49" s="365">
        <f t="shared" si="5"/>
        <v>16.041379498510974</v>
      </c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</row>
    <row r="50" spans="2:27" ht="22.5" customHeight="1">
      <c r="B50" s="343" t="s">
        <v>540</v>
      </c>
      <c r="C50" s="339">
        <f>17938047268.63</f>
        <v>17938047268.63</v>
      </c>
      <c r="D50" s="339">
        <f>6408939588.63</f>
        <v>6408939588.63</v>
      </c>
      <c r="E50" s="339">
        <f>2786759892.28</f>
        <v>2786759892.28</v>
      </c>
      <c r="F50" s="339">
        <f>441403326.84</f>
        <v>441403326.84</v>
      </c>
      <c r="G50" s="339">
        <f>8643676.23</f>
        <v>8643676.23</v>
      </c>
      <c r="H50" s="339">
        <f>10234828.26</f>
        <v>10234828.26</v>
      </c>
      <c r="I50" s="742">
        <f>0</f>
        <v>0</v>
      </c>
      <c r="J50" s="742"/>
      <c r="K50" s="367">
        <f t="shared" si="4"/>
        <v>10.340095285777199</v>
      </c>
      <c r="L50" s="367">
        <f t="shared" si="5"/>
        <v>15.53546966705499</v>
      </c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</row>
    <row r="51" spans="2:27" ht="25.5" customHeight="1">
      <c r="B51" s="353" t="s">
        <v>541</v>
      </c>
      <c r="C51" s="366">
        <f aca="true" t="shared" si="6" ref="C51:I51">C48-C49</f>
        <v>50551320744.52</v>
      </c>
      <c r="D51" s="366">
        <f t="shared" si="6"/>
        <v>36482877833.759995</v>
      </c>
      <c r="E51" s="366">
        <f t="shared" si="6"/>
        <v>24020032896.82</v>
      </c>
      <c r="F51" s="366">
        <f t="shared" si="6"/>
        <v>754554446.69</v>
      </c>
      <c r="G51" s="366">
        <f t="shared" si="6"/>
        <v>8270677.169999998</v>
      </c>
      <c r="H51" s="366">
        <f t="shared" si="6"/>
        <v>23643177.79</v>
      </c>
      <c r="I51" s="746">
        <f t="shared" si="6"/>
        <v>64</v>
      </c>
      <c r="J51" s="746"/>
      <c r="K51" s="365">
        <f t="shared" si="4"/>
        <v>89.12480390171584</v>
      </c>
      <c r="L51" s="365">
        <f t="shared" si="5"/>
        <v>47.51613319504394</v>
      </c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</row>
    <row r="52" spans="2:27" ht="13.5" customHeight="1">
      <c r="B52" s="343" t="s">
        <v>542</v>
      </c>
      <c r="C52" s="339">
        <f>19093309762.16</f>
        <v>19093309762.16</v>
      </c>
      <c r="D52" s="339">
        <f>16500191650.93</f>
        <v>16500191650.93</v>
      </c>
      <c r="E52" s="339">
        <f>9676618382.87</f>
        <v>9676618382.87</v>
      </c>
      <c r="F52" s="339">
        <f>264607000.44</f>
        <v>264607000.44</v>
      </c>
      <c r="G52" s="339">
        <f>7777.96</f>
        <v>7777.96</v>
      </c>
      <c r="H52" s="339">
        <f>2284536.86</f>
        <v>2284536.86</v>
      </c>
      <c r="I52" s="742">
        <f>64</f>
        <v>64</v>
      </c>
      <c r="J52" s="742"/>
      <c r="K52" s="367">
        <f t="shared" si="4"/>
        <v>35.904476880179615</v>
      </c>
      <c r="L52" s="367">
        <f t="shared" si="5"/>
        <v>50.680675605271794</v>
      </c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</row>
    <row r="53" spans="2:27" ht="22.5" customHeight="1">
      <c r="B53" s="359" t="s">
        <v>543</v>
      </c>
      <c r="C53" s="368">
        <f>17329017519.98</f>
        <v>17329017519.98</v>
      </c>
      <c r="D53" s="368">
        <f>14981880978.81</f>
        <v>14981880978.81</v>
      </c>
      <c r="E53" s="368">
        <f>8250984315.9</f>
        <v>8250984315.9</v>
      </c>
      <c r="F53" s="368">
        <f>255776263.37</f>
        <v>255776263.37</v>
      </c>
      <c r="G53" s="368">
        <f>6375.89</f>
        <v>6375.89</v>
      </c>
      <c r="H53" s="368">
        <f>2144412.83</f>
        <v>2144412.83</v>
      </c>
      <c r="I53" s="743">
        <f>64</f>
        <v>64</v>
      </c>
      <c r="J53" s="743"/>
      <c r="K53" s="367">
        <f t="shared" si="4"/>
        <v>30.614752373968454</v>
      </c>
      <c r="L53" s="367">
        <f t="shared" si="5"/>
        <v>47.61368788730686</v>
      </c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</row>
    <row r="54" spans="2:27" ht="13.5" customHeight="1">
      <c r="B54" s="343" t="s">
        <v>544</v>
      </c>
      <c r="C54" s="339">
        <f>3664957358.82</f>
        <v>3664957358.82</v>
      </c>
      <c r="D54" s="339">
        <f>3120522083.21</f>
        <v>3120522083.21</v>
      </c>
      <c r="E54" s="339">
        <f>1688493243.26</f>
        <v>1688493243.26</v>
      </c>
      <c r="F54" s="339">
        <f>156303351.13</f>
        <v>156303351.13</v>
      </c>
      <c r="G54" s="339">
        <f>1025906.53</f>
        <v>1025906.53</v>
      </c>
      <c r="H54" s="339">
        <f>1332526.83</f>
        <v>1332526.83</v>
      </c>
      <c r="I54" s="742">
        <f>0</f>
        <v>0</v>
      </c>
      <c r="J54" s="742"/>
      <c r="K54" s="367">
        <f t="shared" si="4"/>
        <v>6.265046756652965</v>
      </c>
      <c r="L54" s="367">
        <f t="shared" si="5"/>
        <v>46.07129300417403</v>
      </c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</row>
    <row r="55" spans="2:27" ht="13.5" customHeight="1">
      <c r="B55" s="343" t="s">
        <v>545</v>
      </c>
      <c r="C55" s="368">
        <f>3260310238.69</f>
        <v>3260310238.69</v>
      </c>
      <c r="D55" s="368">
        <f>2399367950.87</f>
        <v>2399367950.87</v>
      </c>
      <c r="E55" s="368">
        <f>1640542879.22</f>
        <v>1640542879.22</v>
      </c>
      <c r="F55" s="368">
        <f>3794205.37</f>
        <v>3794205.37</v>
      </c>
      <c r="G55" s="368">
        <f>84000</f>
        <v>84000</v>
      </c>
      <c r="H55" s="368">
        <f>42948</f>
        <v>42948</v>
      </c>
      <c r="I55" s="743">
        <f>0</f>
        <v>0</v>
      </c>
      <c r="J55" s="743"/>
      <c r="K55" s="367">
        <f t="shared" si="4"/>
        <v>6.087129981499561</v>
      </c>
      <c r="L55" s="367">
        <f t="shared" si="5"/>
        <v>50.318612620103714</v>
      </c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</row>
    <row r="56" spans="2:27" ht="13.5" customHeight="1">
      <c r="B56" s="343" t="s">
        <v>546</v>
      </c>
      <c r="C56" s="339">
        <f>518716603.73</f>
        <v>518716603.73</v>
      </c>
      <c r="D56" s="339">
        <f>273978580.29</f>
        <v>273978580.29</v>
      </c>
      <c r="E56" s="339">
        <f>208000568.15</f>
        <v>208000568.15</v>
      </c>
      <c r="F56" s="339">
        <f>7637953.4</f>
        <v>7637953.4</v>
      </c>
      <c r="G56" s="339">
        <f>0</f>
        <v>0</v>
      </c>
      <c r="H56" s="339">
        <f>11575.77</f>
        <v>11575.77</v>
      </c>
      <c r="I56" s="742">
        <f>0</f>
        <v>0</v>
      </c>
      <c r="J56" s="742"/>
      <c r="K56" s="367">
        <f t="shared" si="4"/>
        <v>0.7717728750599866</v>
      </c>
      <c r="L56" s="367">
        <f t="shared" si="5"/>
        <v>40.09907657751929</v>
      </c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</row>
    <row r="57" spans="2:27" ht="22.5" customHeight="1">
      <c r="B57" s="343" t="s">
        <v>547</v>
      </c>
      <c r="C57" s="368">
        <f>83881481.64</f>
        <v>83881481.64</v>
      </c>
      <c r="D57" s="368">
        <f>11448464.48</f>
        <v>11448464.48</v>
      </c>
      <c r="E57" s="368">
        <f>4804389.05</f>
        <v>4804389.05</v>
      </c>
      <c r="F57" s="368">
        <f>271470.27</f>
        <v>271470.27</v>
      </c>
      <c r="G57" s="368">
        <f>0</f>
        <v>0</v>
      </c>
      <c r="H57" s="368">
        <f>201456.98</f>
        <v>201456.98</v>
      </c>
      <c r="I57" s="743">
        <f>0</f>
        <v>0</v>
      </c>
      <c r="J57" s="743"/>
      <c r="K57" s="367">
        <f t="shared" si="4"/>
        <v>0.017826379913305143</v>
      </c>
      <c r="L57" s="367">
        <f t="shared" si="5"/>
        <v>5.727592021585087</v>
      </c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</row>
    <row r="58" spans="2:27" ht="13.5" customHeight="1">
      <c r="B58" s="343" t="s">
        <v>548</v>
      </c>
      <c r="C58" s="339">
        <f aca="true" t="shared" si="7" ref="C58:I58">C51-C52-C54-C55-C56-C57</f>
        <v>23930145299.48</v>
      </c>
      <c r="D58" s="339">
        <f t="shared" si="7"/>
        <v>14177369103.979996</v>
      </c>
      <c r="E58" s="339">
        <f t="shared" si="7"/>
        <v>10801573434.27</v>
      </c>
      <c r="F58" s="339">
        <f t="shared" si="7"/>
        <v>321940466.0800001</v>
      </c>
      <c r="G58" s="339">
        <f t="shared" si="7"/>
        <v>7152992.679999998</v>
      </c>
      <c r="H58" s="339">
        <f t="shared" si="7"/>
        <v>19770133.35</v>
      </c>
      <c r="I58" s="744">
        <f t="shared" si="7"/>
        <v>0</v>
      </c>
      <c r="J58" s="745"/>
      <c r="K58" s="367">
        <f t="shared" si="4"/>
        <v>40.0785510284104</v>
      </c>
      <c r="L58" s="367">
        <f t="shared" si="5"/>
        <v>45.137935014981785</v>
      </c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</row>
    <row r="59" spans="2:27" ht="24" customHeight="1">
      <c r="B59" s="353" t="s">
        <v>549</v>
      </c>
      <c r="C59" s="366">
        <f>C6-C48</f>
        <v>-7797938920.819992</v>
      </c>
      <c r="D59" s="366"/>
      <c r="E59" s="366">
        <f>D6-E48</f>
        <v>4393653673.709999</v>
      </c>
      <c r="F59" s="366"/>
      <c r="G59" s="366"/>
      <c r="H59" s="366"/>
      <c r="I59" s="746"/>
      <c r="J59" s="746"/>
      <c r="K59" s="369"/>
      <c r="L59" s="369"/>
      <c r="M59" s="370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</row>
    <row r="60" spans="2:27" ht="24" customHeight="1">
      <c r="B60" s="547"/>
      <c r="C60" s="548"/>
      <c r="D60" s="548"/>
      <c r="E60" s="548"/>
      <c r="F60" s="548"/>
      <c r="G60" s="548"/>
      <c r="H60" s="548"/>
      <c r="I60" s="548"/>
      <c r="J60" s="548"/>
      <c r="K60" s="369"/>
      <c r="L60" s="369"/>
      <c r="M60" s="370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</row>
    <row r="61" spans="2:27" ht="24" customHeight="1">
      <c r="B61" s="547"/>
      <c r="C61" s="548"/>
      <c r="D61" s="548"/>
      <c r="E61" s="548"/>
      <c r="F61" s="548"/>
      <c r="G61" s="548"/>
      <c r="H61" s="548"/>
      <c r="I61" s="548"/>
      <c r="J61" s="548"/>
      <c r="K61" s="369"/>
      <c r="L61" s="369"/>
      <c r="M61" s="370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</row>
    <row r="62" spans="2:27" ht="24" customHeight="1">
      <c r="B62" s="547"/>
      <c r="C62" s="548"/>
      <c r="D62" s="548"/>
      <c r="E62" s="548"/>
      <c r="F62" s="548"/>
      <c r="G62" s="548"/>
      <c r="H62" s="548"/>
      <c r="I62" s="548"/>
      <c r="J62" s="548"/>
      <c r="K62" s="369"/>
      <c r="L62" s="369"/>
      <c r="M62" s="370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</row>
    <row r="63" spans="2:27" ht="7.5" customHeight="1">
      <c r="B63" s="547"/>
      <c r="C63" s="548"/>
      <c r="D63" s="548"/>
      <c r="E63" s="548"/>
      <c r="F63" s="548"/>
      <c r="G63" s="548"/>
      <c r="H63" s="548"/>
      <c r="I63" s="548"/>
      <c r="J63" s="548"/>
      <c r="K63" s="369"/>
      <c r="L63" s="369"/>
      <c r="M63" s="370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</row>
    <row r="64" spans="2:27" ht="75" customHeight="1">
      <c r="B64" s="725" t="str">
        <f>CONCATENATE("Informacja z wykonania budżetów gmin za ",$D$94," ",$C$95," roku")</f>
        <v>Informacja z wykonania budżetów gmin za 2 kwartały 2008 roku</v>
      </c>
      <c r="C64" s="725"/>
      <c r="D64" s="725"/>
      <c r="E64" s="725"/>
      <c r="F64" s="725"/>
      <c r="G64" s="725"/>
      <c r="H64" s="725"/>
      <c r="I64" s="725"/>
      <c r="J64" s="725"/>
      <c r="K64" s="725"/>
      <c r="L64" s="725"/>
      <c r="M64" s="725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</row>
    <row r="65" spans="2:27" ht="12.75"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</row>
    <row r="66" spans="2:27" ht="18" customHeight="1">
      <c r="B66" s="730" t="s">
        <v>460</v>
      </c>
      <c r="C66" s="730"/>
      <c r="D66" s="731" t="s">
        <v>550</v>
      </c>
      <c r="E66" s="731"/>
      <c r="F66" s="731" t="s">
        <v>551</v>
      </c>
      <c r="G66" s="731"/>
      <c r="H66" s="356" t="s">
        <v>552</v>
      </c>
      <c r="I66" s="356" t="s">
        <v>553</v>
      </c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</row>
    <row r="67" spans="2:27" ht="13.5" customHeight="1">
      <c r="B67" s="730"/>
      <c r="C67" s="730"/>
      <c r="D67" s="726"/>
      <c r="E67" s="726"/>
      <c r="F67" s="726"/>
      <c r="G67" s="726"/>
      <c r="H67" s="741" t="s">
        <v>12</v>
      </c>
      <c r="I67" s="741"/>
      <c r="J67" s="37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</row>
    <row r="68" spans="2:27" ht="11.25" customHeight="1">
      <c r="B68" s="728">
        <v>1</v>
      </c>
      <c r="C68" s="726"/>
      <c r="D68" s="729">
        <v>2</v>
      </c>
      <c r="E68" s="729"/>
      <c r="F68" s="729">
        <v>3</v>
      </c>
      <c r="G68" s="729"/>
      <c r="H68" s="372">
        <v>4</v>
      </c>
      <c r="I68" s="372">
        <v>5</v>
      </c>
      <c r="J68" s="36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</row>
    <row r="69" spans="2:27" ht="25.5" customHeight="1">
      <c r="B69" s="732" t="s">
        <v>554</v>
      </c>
      <c r="C69" s="732"/>
      <c r="D69" s="733">
        <f>7853016565.15</f>
        <v>7853016565.15</v>
      </c>
      <c r="E69" s="733"/>
      <c r="F69" s="733">
        <f>3317790346.66</f>
        <v>3317790346.66</v>
      </c>
      <c r="G69" s="733"/>
      <c r="H69" s="365"/>
      <c r="I69" s="365"/>
      <c r="J69" s="373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</row>
    <row r="70" spans="2:27" ht="25.5" customHeight="1">
      <c r="B70" s="734" t="s">
        <v>555</v>
      </c>
      <c r="C70" s="732"/>
      <c r="D70" s="733">
        <f>10971079878.22</f>
        <v>10971079878.22</v>
      </c>
      <c r="E70" s="733"/>
      <c r="F70" s="733">
        <f>5344401862.54</f>
        <v>5344401862.54</v>
      </c>
      <c r="G70" s="733"/>
      <c r="H70" s="308">
        <f aca="true" t="shared" si="8" ref="H70:H82">IF($F$70=0,"",100*$F70/$F$70)</f>
        <v>100</v>
      </c>
      <c r="I70" s="365">
        <f aca="true" t="shared" si="9" ref="I70:I91">IF(D70=0,"",100*F70/D70)</f>
        <v>48.7135443535491</v>
      </c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</row>
    <row r="71" spans="2:27" ht="13.5" customHeight="1">
      <c r="B71" s="735" t="s">
        <v>556</v>
      </c>
      <c r="C71" s="735"/>
      <c r="D71" s="736">
        <f>6525913406.01</f>
        <v>6525913406.01</v>
      </c>
      <c r="E71" s="736"/>
      <c r="F71" s="736">
        <f>571185274.01</f>
        <v>571185274.01</v>
      </c>
      <c r="G71" s="736"/>
      <c r="H71" s="367">
        <f t="shared" si="8"/>
        <v>10.687543502548971</v>
      </c>
      <c r="I71" s="367">
        <f t="shared" si="9"/>
        <v>8.752572068822893</v>
      </c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</row>
    <row r="72" spans="2:27" ht="45" customHeight="1">
      <c r="B72" s="737" t="s">
        <v>577</v>
      </c>
      <c r="C72" s="737" t="s">
        <v>558</v>
      </c>
      <c r="D72" s="736">
        <f>621514081.73</f>
        <v>621514081.73</v>
      </c>
      <c r="E72" s="736"/>
      <c r="F72" s="736">
        <f>147936557.77</f>
        <v>147936557.77</v>
      </c>
      <c r="G72" s="736"/>
      <c r="H72" s="367">
        <f t="shared" si="8"/>
        <v>2.768065755064518</v>
      </c>
      <c r="I72" s="367">
        <f t="shared" si="9"/>
        <v>23.802607554476467</v>
      </c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</row>
    <row r="73" spans="2:27" ht="13.5" customHeight="1">
      <c r="B73" s="735" t="s">
        <v>559</v>
      </c>
      <c r="C73" s="735" t="s">
        <v>560</v>
      </c>
      <c r="D73" s="736">
        <f>25190010.19</f>
        <v>25190010.19</v>
      </c>
      <c r="E73" s="736"/>
      <c r="F73" s="736">
        <f>6960561.6</f>
        <v>6960561.6</v>
      </c>
      <c r="G73" s="736"/>
      <c r="H73" s="367">
        <f t="shared" si="8"/>
        <v>0.13024023602693488</v>
      </c>
      <c r="I73" s="367">
        <f t="shared" si="9"/>
        <v>27.632230187676633</v>
      </c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</row>
    <row r="74" spans="2:27" ht="13.5" customHeight="1">
      <c r="B74" s="735" t="s">
        <v>561</v>
      </c>
      <c r="C74" s="735" t="s">
        <v>562</v>
      </c>
      <c r="D74" s="736">
        <f>1398608749.67</f>
        <v>1398608749.67</v>
      </c>
      <c r="E74" s="736"/>
      <c r="F74" s="736">
        <f>1790137773.49</f>
        <v>1790137773.49</v>
      </c>
      <c r="G74" s="736"/>
      <c r="H74" s="367">
        <f t="shared" si="8"/>
        <v>33.495568251284396</v>
      </c>
      <c r="I74" s="367">
        <f t="shared" si="9"/>
        <v>127.99417806533677</v>
      </c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</row>
    <row r="75" spans="2:27" ht="13.5" customHeight="1">
      <c r="B75" s="737" t="s">
        <v>563</v>
      </c>
      <c r="C75" s="737" t="s">
        <v>564</v>
      </c>
      <c r="D75" s="736">
        <f>859887622.04</f>
        <v>859887622.04</v>
      </c>
      <c r="E75" s="736"/>
      <c r="F75" s="736">
        <f>149516889.4</f>
        <v>149516889.4</v>
      </c>
      <c r="G75" s="736"/>
      <c r="H75" s="367">
        <f t="shared" si="8"/>
        <v>2.7976356053610845</v>
      </c>
      <c r="I75" s="367">
        <f t="shared" si="9"/>
        <v>17.387956933870694</v>
      </c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</row>
    <row r="76" spans="2:27" ht="13.5" customHeight="1">
      <c r="B76" s="735" t="s">
        <v>565</v>
      </c>
      <c r="C76" s="735" t="s">
        <v>566</v>
      </c>
      <c r="D76" s="736">
        <f>51596996</f>
        <v>51596996</v>
      </c>
      <c r="E76" s="736"/>
      <c r="F76" s="736">
        <f>2363743.94</f>
        <v>2363743.94</v>
      </c>
      <c r="G76" s="736"/>
      <c r="H76" s="367">
        <f t="shared" si="8"/>
        <v>0.044228409479608224</v>
      </c>
      <c r="I76" s="367">
        <f t="shared" si="9"/>
        <v>4.581165810505713</v>
      </c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</row>
    <row r="77" spans="2:27" ht="45" customHeight="1">
      <c r="B77" s="737" t="s">
        <v>577</v>
      </c>
      <c r="C77" s="737" t="s">
        <v>558</v>
      </c>
      <c r="D77" s="736">
        <f>8852740</f>
        <v>8852740</v>
      </c>
      <c r="E77" s="736"/>
      <c r="F77" s="736">
        <f>0</f>
        <v>0</v>
      </c>
      <c r="G77" s="736"/>
      <c r="H77" s="367">
        <f t="shared" si="8"/>
        <v>0</v>
      </c>
      <c r="I77" s="367">
        <f t="shared" si="9"/>
        <v>0</v>
      </c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</row>
    <row r="78" spans="2:27" ht="22.5" customHeight="1">
      <c r="B78" s="735" t="s">
        <v>567</v>
      </c>
      <c r="C78" s="735" t="s">
        <v>568</v>
      </c>
      <c r="D78" s="736">
        <f>486944279</f>
        <v>486944279</v>
      </c>
      <c r="E78" s="736"/>
      <c r="F78" s="736">
        <f>25299747.94</f>
        <v>25299747.94</v>
      </c>
      <c r="G78" s="736"/>
      <c r="H78" s="367">
        <f t="shared" si="8"/>
        <v>0.4733878288107614</v>
      </c>
      <c r="I78" s="367">
        <f t="shared" si="9"/>
        <v>5.195614576673155</v>
      </c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</row>
    <row r="79" spans="2:27" ht="45" customHeight="1">
      <c r="B79" s="737" t="s">
        <v>577</v>
      </c>
      <c r="C79" s="737" t="s">
        <v>558</v>
      </c>
      <c r="D79" s="736">
        <f>7650140</f>
        <v>7650140</v>
      </c>
      <c r="E79" s="736"/>
      <c r="F79" s="736">
        <f>3000000</f>
        <v>3000000</v>
      </c>
      <c r="G79" s="736"/>
      <c r="H79" s="367">
        <f t="shared" si="8"/>
        <v>0.056133503377199426</v>
      </c>
      <c r="I79" s="367">
        <f t="shared" si="9"/>
        <v>39.21496861495345</v>
      </c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</row>
    <row r="80" spans="2:27" ht="13.5" customHeight="1">
      <c r="B80" s="735" t="s">
        <v>569</v>
      </c>
      <c r="C80" s="735" t="s">
        <v>570</v>
      </c>
      <c r="D80" s="736">
        <f>57768012</f>
        <v>57768012</v>
      </c>
      <c r="E80" s="736"/>
      <c r="F80" s="736">
        <f>50685975.65</f>
        <v>50685975.65</v>
      </c>
      <c r="G80" s="736"/>
      <c r="H80" s="367">
        <f t="shared" si="8"/>
        <v>0.948393795108641</v>
      </c>
      <c r="I80" s="367">
        <f t="shared" si="9"/>
        <v>87.74055726549842</v>
      </c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</row>
    <row r="81" spans="2:27" ht="13.5" customHeight="1">
      <c r="B81" s="735" t="s">
        <v>571</v>
      </c>
      <c r="C81" s="735" t="s">
        <v>572</v>
      </c>
      <c r="D81" s="736">
        <f>2425058425.35</f>
        <v>2425058425.35</v>
      </c>
      <c r="E81" s="736"/>
      <c r="F81" s="736">
        <f>2897768785.91</f>
        <v>2897768785.91</v>
      </c>
      <c r="G81" s="736"/>
      <c r="H81" s="367">
        <f t="shared" si="8"/>
        <v>54.22063797674069</v>
      </c>
      <c r="I81" s="367">
        <f t="shared" si="9"/>
        <v>119.49274110753746</v>
      </c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</row>
    <row r="82" spans="2:27" ht="13.5" customHeight="1">
      <c r="B82" s="737" t="s">
        <v>563</v>
      </c>
      <c r="C82" s="737" t="s">
        <v>564</v>
      </c>
      <c r="D82" s="736">
        <f>1578999641.54</f>
        <v>1578999641.54</v>
      </c>
      <c r="E82" s="736"/>
      <c r="F82" s="736">
        <f>332427976.41</f>
        <v>332427976.41</v>
      </c>
      <c r="G82" s="736"/>
      <c r="H82" s="367">
        <f t="shared" si="8"/>
        <v>6.2201156454954365</v>
      </c>
      <c r="I82" s="367">
        <f t="shared" si="9"/>
        <v>21.053074849705645</v>
      </c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</row>
    <row r="83" spans="2:27" ht="25.5" customHeight="1">
      <c r="B83" s="734" t="s">
        <v>573</v>
      </c>
      <c r="C83" s="732" t="s">
        <v>574</v>
      </c>
      <c r="D83" s="733">
        <f>3118063313.07</f>
        <v>3118063313.07</v>
      </c>
      <c r="E83" s="733"/>
      <c r="F83" s="733">
        <f>2026611515.88</f>
        <v>2026611515.88</v>
      </c>
      <c r="G83" s="733"/>
      <c r="H83" s="308">
        <f aca="true" t="shared" si="10" ref="H83:H91">IF($F$83=0,"",100*$F83/$F$83)</f>
        <v>100</v>
      </c>
      <c r="I83" s="365">
        <f t="shared" si="9"/>
        <v>64.99584236744145</v>
      </c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</row>
    <row r="84" spans="2:27" ht="13.5" customHeight="1">
      <c r="B84" s="735" t="s">
        <v>575</v>
      </c>
      <c r="C84" s="735" t="s">
        <v>576</v>
      </c>
      <c r="D84" s="736">
        <f>2522262912.94</f>
        <v>2522262912.94</v>
      </c>
      <c r="E84" s="736"/>
      <c r="F84" s="736">
        <f>1270856256.13</f>
        <v>1270856256.13</v>
      </c>
      <c r="G84" s="736"/>
      <c r="H84" s="367">
        <f t="shared" si="10"/>
        <v>62.708429621163276</v>
      </c>
      <c r="I84" s="367">
        <f t="shared" si="9"/>
        <v>50.385558524058254</v>
      </c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</row>
    <row r="85" spans="2:27" ht="45" customHeight="1">
      <c r="B85" s="737" t="s">
        <v>577</v>
      </c>
      <c r="C85" s="737" t="s">
        <v>558</v>
      </c>
      <c r="D85" s="736">
        <f>421170861.42</f>
        <v>421170861.42</v>
      </c>
      <c r="E85" s="736"/>
      <c r="F85" s="736">
        <f>204082065.73</f>
        <v>204082065.73</v>
      </c>
      <c r="G85" s="736"/>
      <c r="H85" s="367">
        <f t="shared" si="10"/>
        <v>10.070112803113279</v>
      </c>
      <c r="I85" s="367">
        <f t="shared" si="9"/>
        <v>48.45588439853755</v>
      </c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</row>
    <row r="86" spans="2:27" ht="13.5" customHeight="1">
      <c r="B86" s="735" t="s">
        <v>578</v>
      </c>
      <c r="C86" s="735" t="s">
        <v>579</v>
      </c>
      <c r="D86" s="736">
        <f>13862073.52</f>
        <v>13862073.52</v>
      </c>
      <c r="E86" s="736"/>
      <c r="F86" s="736">
        <f>10752553.96</f>
        <v>10752553.96</v>
      </c>
      <c r="G86" s="736"/>
      <c r="H86" s="367">
        <f t="shared" si="10"/>
        <v>0.5305680874576004</v>
      </c>
      <c r="I86" s="367">
        <f t="shared" si="9"/>
        <v>77.56814984775814</v>
      </c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</row>
    <row r="87" spans="2:27" ht="13.5" customHeight="1">
      <c r="B87" s="735" t="s">
        <v>580</v>
      </c>
      <c r="C87" s="735" t="s">
        <v>581</v>
      </c>
      <c r="D87" s="736">
        <f>14843000</f>
        <v>14843000</v>
      </c>
      <c r="E87" s="736"/>
      <c r="F87" s="736">
        <f>13450000</f>
        <v>13450000</v>
      </c>
      <c r="G87" s="736"/>
      <c r="H87" s="367">
        <f t="shared" si="10"/>
        <v>0.6636693759316624</v>
      </c>
      <c r="I87" s="367">
        <f t="shared" si="9"/>
        <v>90.61510476318803</v>
      </c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</row>
    <row r="88" spans="2:27" ht="45" customHeight="1">
      <c r="B88" s="737" t="s">
        <v>577</v>
      </c>
      <c r="C88" s="737" t="s">
        <v>558</v>
      </c>
      <c r="D88" s="736">
        <f>0</f>
        <v>0</v>
      </c>
      <c r="E88" s="736"/>
      <c r="F88" s="736">
        <f>0</f>
        <v>0</v>
      </c>
      <c r="G88" s="736"/>
      <c r="H88" s="367">
        <f t="shared" si="10"/>
        <v>0</v>
      </c>
      <c r="I88" s="367">
        <f t="shared" si="9"/>
      </c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</row>
    <row r="89" spans="2:27" ht="13.5" customHeight="1">
      <c r="B89" s="735" t="s">
        <v>582</v>
      </c>
      <c r="C89" s="735" t="s">
        <v>583</v>
      </c>
      <c r="D89" s="736">
        <f>181289800</f>
        <v>181289800</v>
      </c>
      <c r="E89" s="736"/>
      <c r="F89" s="736">
        <f>38952100</f>
        <v>38952100</v>
      </c>
      <c r="G89" s="736"/>
      <c r="H89" s="367">
        <f t="shared" si="10"/>
        <v>1.9220309218013165</v>
      </c>
      <c r="I89" s="367">
        <f t="shared" si="9"/>
        <v>21.486095742838263</v>
      </c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</row>
    <row r="90" spans="2:27" ht="45" customHeight="1">
      <c r="B90" s="737" t="s">
        <v>577</v>
      </c>
      <c r="C90" s="737" t="s">
        <v>558</v>
      </c>
      <c r="D90" s="736">
        <f>4100000</f>
        <v>4100000</v>
      </c>
      <c r="E90" s="736"/>
      <c r="F90" s="736">
        <f>0</f>
        <v>0</v>
      </c>
      <c r="G90" s="736"/>
      <c r="H90" s="367">
        <f t="shared" si="10"/>
        <v>0</v>
      </c>
      <c r="I90" s="367">
        <f t="shared" si="9"/>
        <v>0</v>
      </c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</row>
    <row r="91" spans="2:27" ht="13.5" customHeight="1">
      <c r="B91" s="735" t="s">
        <v>584</v>
      </c>
      <c r="C91" s="735" t="s">
        <v>585</v>
      </c>
      <c r="D91" s="736">
        <f>385805526.61</f>
        <v>385805526.61</v>
      </c>
      <c r="E91" s="736"/>
      <c r="F91" s="736">
        <f>692600605.79</f>
        <v>692600605.79</v>
      </c>
      <c r="G91" s="736"/>
      <c r="H91" s="367">
        <f t="shared" si="10"/>
        <v>34.175301993646144</v>
      </c>
      <c r="I91" s="367">
        <f t="shared" si="9"/>
        <v>179.52065432440799</v>
      </c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</row>
    <row r="92" spans="2:27" ht="12.75"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</row>
    <row r="93" spans="2:27" ht="12.75">
      <c r="B93" s="341"/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</row>
    <row r="94" spans="2:27" ht="12.75" hidden="1">
      <c r="B94" s="374" t="s">
        <v>586</v>
      </c>
      <c r="C94" s="374">
        <f>2</f>
        <v>2</v>
      </c>
      <c r="D94" s="374" t="s">
        <v>697</v>
      </c>
      <c r="E94" s="341"/>
      <c r="F94" s="341"/>
      <c r="G94" s="341"/>
      <c r="H94" s="341"/>
      <c r="I94" s="341"/>
      <c r="J94" s="341"/>
      <c r="K94" s="341"/>
      <c r="L94" s="341"/>
      <c r="M94" s="341"/>
      <c r="N94" s="341"/>
      <c r="O94" s="341"/>
      <c r="P94" s="341"/>
      <c r="Q94" s="341"/>
      <c r="R94" s="341"/>
      <c r="S94" s="341"/>
      <c r="T94" s="341"/>
      <c r="U94" s="341"/>
      <c r="V94" s="341"/>
      <c r="W94" s="341"/>
      <c r="X94" s="341"/>
      <c r="Y94" s="341"/>
      <c r="Z94" s="341"/>
      <c r="AA94" s="341"/>
    </row>
    <row r="95" spans="2:27" ht="12.75" hidden="1">
      <c r="B95" s="374" t="s">
        <v>587</v>
      </c>
      <c r="C95" s="374">
        <f>2008</f>
        <v>2008</v>
      </c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  <c r="Z95" s="341"/>
      <c r="AA95" s="341"/>
    </row>
    <row r="96" spans="2:27" ht="12.75" hidden="1">
      <c r="B96" s="374" t="s">
        <v>588</v>
      </c>
      <c r="C96" s="375" t="str">
        <f>"Aug 18 2008 12:00AM"</f>
        <v>Aug 18 2008 12:00AM</v>
      </c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</row>
  </sheetData>
  <sheetProtection/>
  <mergeCells count="108">
    <mergeCell ref="I53:J53"/>
    <mergeCell ref="I52:J52"/>
    <mergeCell ref="I54:J54"/>
    <mergeCell ref="I55:J55"/>
    <mergeCell ref="I47:J47"/>
    <mergeCell ref="H67:I67"/>
    <mergeCell ref="I56:J56"/>
    <mergeCell ref="I57:J57"/>
    <mergeCell ref="I58:J58"/>
    <mergeCell ref="I59:J59"/>
    <mergeCell ref="I48:J48"/>
    <mergeCell ref="I49:J49"/>
    <mergeCell ref="I50:J50"/>
    <mergeCell ref="I51:J51"/>
    <mergeCell ref="B1:M1"/>
    <mergeCell ref="B64:M64"/>
    <mergeCell ref="I43:J45"/>
    <mergeCell ref="D43:D45"/>
    <mergeCell ref="E43:E45"/>
    <mergeCell ref="F44:F45"/>
    <mergeCell ref="F43:H43"/>
    <mergeCell ref="G44:H44"/>
    <mergeCell ref="L43:L45"/>
    <mergeCell ref="B3:B4"/>
    <mergeCell ref="D90:E90"/>
    <mergeCell ref="F90:G90"/>
    <mergeCell ref="B87:C87"/>
    <mergeCell ref="D87:E87"/>
    <mergeCell ref="F87:G87"/>
    <mergeCell ref="B91:C91"/>
    <mergeCell ref="D91:E91"/>
    <mergeCell ref="F91:G91"/>
    <mergeCell ref="B88:C88"/>
    <mergeCell ref="D88:E88"/>
    <mergeCell ref="F88:G88"/>
    <mergeCell ref="B89:C89"/>
    <mergeCell ref="D89:E89"/>
    <mergeCell ref="F89:G89"/>
    <mergeCell ref="B90:C9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8:C68"/>
    <mergeCell ref="D68:E68"/>
    <mergeCell ref="F68:G68"/>
    <mergeCell ref="B66:C67"/>
    <mergeCell ref="D66:E66"/>
    <mergeCell ref="F66:G66"/>
    <mergeCell ref="D67:G67"/>
    <mergeCell ref="K4:M4"/>
    <mergeCell ref="C4:J4"/>
    <mergeCell ref="B41:M41"/>
    <mergeCell ref="C46:J46"/>
    <mergeCell ref="C43:C45"/>
    <mergeCell ref="B43:B46"/>
    <mergeCell ref="K43:K45"/>
    <mergeCell ref="K46:L46"/>
  </mergeCells>
  <printOptions/>
  <pageMargins left="0.18" right="0.18" top="0.5511811023622047" bottom="0.3937007874015748" header="0.31496062992125984" footer="0.1968503937007874"/>
  <pageSetup horizontalDpi="600" verticalDpi="600" orientation="landscape" paperSize="9" scale="95" r:id="rId3"/>
  <headerFooter alignWithMargins="0">
    <oddFooter>&amp;L&amp;"Arial CE,Kursywa"&amp;9&amp;D&amp;R&amp;9strona &amp;P z 5</oddFooter>
  </headerFooter>
  <rowBreaks count="4" manualBreakCount="4">
    <brk id="21" max="255" man="1"/>
    <brk id="40" max="255" man="1"/>
    <brk id="63" max="255" man="1"/>
    <brk id="8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"/>
  <dimension ref="A1:Q58"/>
  <sheetViews>
    <sheetView showGridLines="0" zoomScaleSheetLayoutView="100" workbookViewId="0" topLeftCell="A1">
      <selection activeCell="A1" sqref="A1:M1"/>
    </sheetView>
  </sheetViews>
  <sheetFormatPr defaultColWidth="9.140625" defaultRowHeight="13.5" customHeight="1"/>
  <cols>
    <col min="1" max="1" width="22.57421875" style="313" customWidth="1"/>
    <col min="2" max="2" width="12.140625" style="313" customWidth="1"/>
    <col min="3" max="3" width="12.28125" style="313" customWidth="1"/>
    <col min="4" max="6" width="11.421875" style="313" customWidth="1"/>
    <col min="7" max="7" width="12.140625" style="313" customWidth="1"/>
    <col min="8" max="8" width="12.00390625" style="313" customWidth="1"/>
    <col min="9" max="9" width="11.7109375" style="313" customWidth="1"/>
    <col min="10" max="10" width="12.8515625" style="313" customWidth="1"/>
    <col min="11" max="11" width="12.140625" style="313" customWidth="1"/>
    <col min="12" max="12" width="11.421875" style="313" customWidth="1"/>
    <col min="13" max="13" width="11.57421875" style="313" customWidth="1"/>
    <col min="14" max="14" width="10.28125" style="313" customWidth="1"/>
    <col min="15" max="16384" width="9.140625" style="313" customWidth="1"/>
  </cols>
  <sheetData>
    <row r="1" spans="1:13" ht="35.25" customHeight="1">
      <c r="A1" s="747" t="str">
        <f>CONCATENATE("Informacja z wykonania budżetów gmin za ",$C$56," ",$B$57," roku")</f>
        <v>Informacja z wykonania budżetów gmin za 2 kwartały 2008 roku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</row>
    <row r="2" spans="1:13" ht="13.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3.5" customHeight="1">
      <c r="A3" s="748" t="s">
        <v>604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</row>
    <row r="5" spans="2:17" ht="13.5" customHeight="1">
      <c r="B5" s="314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315"/>
      <c r="O5" s="315"/>
      <c r="P5" s="315"/>
      <c r="Q5" s="315"/>
    </row>
    <row r="6" spans="1:17" ht="13.5" customHeight="1">
      <c r="A6" s="641" t="s">
        <v>460</v>
      </c>
      <c r="B6" s="640" t="s">
        <v>605</v>
      </c>
      <c r="C6" s="628" t="s">
        <v>606</v>
      </c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30"/>
      <c r="O6" s="628" t="s">
        <v>607</v>
      </c>
      <c r="P6" s="629"/>
      <c r="Q6" s="630"/>
    </row>
    <row r="7" spans="1:17" ht="13.5" customHeight="1">
      <c r="A7" s="642"/>
      <c r="B7" s="636"/>
      <c r="C7" s="634" t="s">
        <v>608</v>
      </c>
      <c r="D7" s="634" t="s">
        <v>609</v>
      </c>
      <c r="E7" s="634" t="s">
        <v>610</v>
      </c>
      <c r="F7" s="634" t="s">
        <v>611</v>
      </c>
      <c r="G7" s="634" t="s">
        <v>612</v>
      </c>
      <c r="H7" s="634" t="s">
        <v>613</v>
      </c>
      <c r="I7" s="652" t="s">
        <v>614</v>
      </c>
      <c r="J7" s="634" t="s">
        <v>615</v>
      </c>
      <c r="K7" s="634" t="s">
        <v>616</v>
      </c>
      <c r="L7" s="634" t="s">
        <v>617</v>
      </c>
      <c r="M7" s="634" t="s">
        <v>618</v>
      </c>
      <c r="N7" s="636" t="s">
        <v>619</v>
      </c>
      <c r="O7" s="635" t="s">
        <v>620</v>
      </c>
      <c r="P7" s="635" t="s">
        <v>621</v>
      </c>
      <c r="Q7" s="635" t="s">
        <v>622</v>
      </c>
    </row>
    <row r="8" spans="1:17" ht="13.5" customHeight="1">
      <c r="A8" s="642"/>
      <c r="B8" s="636"/>
      <c r="C8" s="635"/>
      <c r="D8" s="635"/>
      <c r="E8" s="635"/>
      <c r="F8" s="635"/>
      <c r="G8" s="635"/>
      <c r="H8" s="635"/>
      <c r="I8" s="652"/>
      <c r="J8" s="635"/>
      <c r="K8" s="635"/>
      <c r="L8" s="635"/>
      <c r="M8" s="635"/>
      <c r="N8" s="636"/>
      <c r="O8" s="635"/>
      <c r="P8" s="635"/>
      <c r="Q8" s="635"/>
    </row>
    <row r="9" spans="1:17" ht="13.5" customHeight="1">
      <c r="A9" s="642"/>
      <c r="B9" s="636"/>
      <c r="C9" s="635"/>
      <c r="D9" s="635"/>
      <c r="E9" s="635"/>
      <c r="F9" s="635"/>
      <c r="G9" s="635"/>
      <c r="H9" s="635"/>
      <c r="I9" s="652"/>
      <c r="J9" s="635"/>
      <c r="K9" s="635"/>
      <c r="L9" s="635"/>
      <c r="M9" s="635"/>
      <c r="N9" s="636"/>
      <c r="O9" s="635"/>
      <c r="P9" s="635"/>
      <c r="Q9" s="635"/>
    </row>
    <row r="10" spans="1:17" ht="11.25" customHeight="1">
      <c r="A10" s="642"/>
      <c r="B10" s="636"/>
      <c r="C10" s="635"/>
      <c r="D10" s="635"/>
      <c r="E10" s="635"/>
      <c r="F10" s="635"/>
      <c r="G10" s="635"/>
      <c r="H10" s="635"/>
      <c r="I10" s="652"/>
      <c r="J10" s="635"/>
      <c r="K10" s="635"/>
      <c r="L10" s="635"/>
      <c r="M10" s="635"/>
      <c r="N10" s="636"/>
      <c r="O10" s="635"/>
      <c r="P10" s="635"/>
      <c r="Q10" s="635"/>
    </row>
    <row r="11" spans="1:17" ht="11.25" customHeight="1">
      <c r="A11" s="643"/>
      <c r="B11" s="634"/>
      <c r="C11" s="635"/>
      <c r="D11" s="635"/>
      <c r="E11" s="635"/>
      <c r="F11" s="635"/>
      <c r="G11" s="635"/>
      <c r="H11" s="635"/>
      <c r="I11" s="653"/>
      <c r="J11" s="635"/>
      <c r="K11" s="635"/>
      <c r="L11" s="635"/>
      <c r="M11" s="635"/>
      <c r="N11" s="634"/>
      <c r="O11" s="635"/>
      <c r="P11" s="635"/>
      <c r="Q11" s="635"/>
    </row>
    <row r="12" spans="1:17" ht="13.5" customHeight="1">
      <c r="A12" s="312">
        <v>1</v>
      </c>
      <c r="B12" s="312">
        <v>2</v>
      </c>
      <c r="C12" s="312">
        <v>3</v>
      </c>
      <c r="D12" s="312">
        <v>4</v>
      </c>
      <c r="E12" s="312">
        <v>5</v>
      </c>
      <c r="F12" s="312">
        <v>6</v>
      </c>
      <c r="G12" s="312">
        <v>7</v>
      </c>
      <c r="H12" s="312">
        <v>8</v>
      </c>
      <c r="I12" s="312">
        <v>9</v>
      </c>
      <c r="J12" s="312">
        <v>10</v>
      </c>
      <c r="K12" s="312">
        <v>11</v>
      </c>
      <c r="L12" s="312">
        <v>12</v>
      </c>
      <c r="M12" s="312">
        <v>13</v>
      </c>
      <c r="N12" s="312">
        <v>14</v>
      </c>
      <c r="O12" s="312">
        <v>15</v>
      </c>
      <c r="P12" s="312">
        <v>16</v>
      </c>
      <c r="Q12" s="312">
        <v>17</v>
      </c>
    </row>
    <row r="13" spans="1:17" ht="21.75" customHeight="1">
      <c r="A13" s="329" t="s">
        <v>623</v>
      </c>
      <c r="B13" s="330">
        <f>9189415175.06</f>
        <v>9189415175.06</v>
      </c>
      <c r="C13" s="330">
        <f>9178837074.16</f>
        <v>9178837074.16</v>
      </c>
      <c r="D13" s="330">
        <f>2806874477.44</f>
        <v>2806874477.44</v>
      </c>
      <c r="E13" s="330">
        <f>352250315.33</f>
        <v>352250315.33</v>
      </c>
      <c r="F13" s="330">
        <f>1047585577.46</f>
        <v>1047585577.46</v>
      </c>
      <c r="G13" s="330">
        <f>1396279959.11</f>
        <v>1396279959.11</v>
      </c>
      <c r="H13" s="330">
        <f>10758625.54</f>
        <v>10758625.54</v>
      </c>
      <c r="I13" s="330">
        <f>42212209.99</f>
        <v>42212209.99</v>
      </c>
      <c r="J13" s="330">
        <f>6121065291.4</f>
        <v>6121065291.4</v>
      </c>
      <c r="K13" s="330">
        <f>79317375.74</f>
        <v>79317375.74</v>
      </c>
      <c r="L13" s="330">
        <f>78946799.59</f>
        <v>78946799.59</v>
      </c>
      <c r="M13" s="330">
        <f>24281909.68</f>
        <v>24281909.68</v>
      </c>
      <c r="N13" s="330">
        <f>26139010.32</f>
        <v>26139010.32</v>
      </c>
      <c r="O13" s="330">
        <f>10578100.9</f>
        <v>10578100.9</v>
      </c>
      <c r="P13" s="330">
        <f>8915082.07</f>
        <v>8915082.07</v>
      </c>
      <c r="Q13" s="330">
        <f>1663018.83</f>
        <v>1663018.83</v>
      </c>
    </row>
    <row r="14" spans="1:17" ht="23.25" customHeight="1">
      <c r="A14" s="376" t="s">
        <v>624</v>
      </c>
      <c r="B14" s="330">
        <f>1133054966.65</f>
        <v>1133054966.65</v>
      </c>
      <c r="C14" s="330">
        <f>1133054966.65</f>
        <v>1133054966.65</v>
      </c>
      <c r="D14" s="330">
        <f>29209699.57</f>
        <v>29209699.57</v>
      </c>
      <c r="E14" s="330">
        <f>378972.7</f>
        <v>378972.7</v>
      </c>
      <c r="F14" s="330">
        <f>7308089.27</f>
        <v>7308089.27</v>
      </c>
      <c r="G14" s="330">
        <f>21522637.6</f>
        <v>21522637.6</v>
      </c>
      <c r="H14" s="330">
        <f>0</f>
        <v>0</v>
      </c>
      <c r="I14" s="330">
        <f>7500000</f>
        <v>7500000</v>
      </c>
      <c r="J14" s="330">
        <f>1080183567.08</f>
        <v>1080183567.08</v>
      </c>
      <c r="K14" s="330">
        <f>14850000</f>
        <v>14850000</v>
      </c>
      <c r="L14" s="330">
        <f>0</f>
        <v>0</v>
      </c>
      <c r="M14" s="330">
        <f>211700</f>
        <v>211700</v>
      </c>
      <c r="N14" s="330">
        <f>1100000</f>
        <v>1100000</v>
      </c>
      <c r="O14" s="330">
        <f>0</f>
        <v>0</v>
      </c>
      <c r="P14" s="330">
        <f>0</f>
        <v>0</v>
      </c>
      <c r="Q14" s="330">
        <f>0</f>
        <v>0</v>
      </c>
    </row>
    <row r="15" spans="1:17" ht="19.5" customHeight="1">
      <c r="A15" s="377" t="s">
        <v>625</v>
      </c>
      <c r="B15" s="330">
        <f>10344884.99</f>
        <v>10344884.99</v>
      </c>
      <c r="C15" s="330">
        <f>10344884.99</f>
        <v>10344884.99</v>
      </c>
      <c r="D15" s="330">
        <f>0</f>
        <v>0</v>
      </c>
      <c r="E15" s="330">
        <f>0</f>
        <v>0</v>
      </c>
      <c r="F15" s="330">
        <f>0</f>
        <v>0</v>
      </c>
      <c r="G15" s="330">
        <f>0</f>
        <v>0</v>
      </c>
      <c r="H15" s="330">
        <f>0</f>
        <v>0</v>
      </c>
      <c r="I15" s="330">
        <f>0</f>
        <v>0</v>
      </c>
      <c r="J15" s="330">
        <f>10344884.99</f>
        <v>10344884.99</v>
      </c>
      <c r="K15" s="330">
        <f>0</f>
        <v>0</v>
      </c>
      <c r="L15" s="330">
        <f>0</f>
        <v>0</v>
      </c>
      <c r="M15" s="330">
        <f>0</f>
        <v>0</v>
      </c>
      <c r="N15" s="330">
        <f>0</f>
        <v>0</v>
      </c>
      <c r="O15" s="330">
        <f>0</f>
        <v>0</v>
      </c>
      <c r="P15" s="330">
        <f>0</f>
        <v>0</v>
      </c>
      <c r="Q15" s="330">
        <f>0</f>
        <v>0</v>
      </c>
    </row>
    <row r="16" spans="1:17" ht="16.5" customHeight="1">
      <c r="A16" s="377" t="s">
        <v>626</v>
      </c>
      <c r="B16" s="330">
        <f>1122710081.66</f>
        <v>1122710081.66</v>
      </c>
      <c r="C16" s="330">
        <f>1122710081.66</f>
        <v>1122710081.66</v>
      </c>
      <c r="D16" s="330">
        <f>29209699.57</f>
        <v>29209699.57</v>
      </c>
      <c r="E16" s="330">
        <f>378972.7</f>
        <v>378972.7</v>
      </c>
      <c r="F16" s="330">
        <f>7308089.27</f>
        <v>7308089.27</v>
      </c>
      <c r="G16" s="330">
        <f>21522637.6</f>
        <v>21522637.6</v>
      </c>
      <c r="H16" s="330">
        <f>0</f>
        <v>0</v>
      </c>
      <c r="I16" s="330">
        <f>7500000</f>
        <v>7500000</v>
      </c>
      <c r="J16" s="330">
        <f>1069838682.09</f>
        <v>1069838682.09</v>
      </c>
      <c r="K16" s="330">
        <f>14850000</f>
        <v>14850000</v>
      </c>
      <c r="L16" s="330">
        <f>0</f>
        <v>0</v>
      </c>
      <c r="M16" s="330">
        <f>211700</f>
        <v>211700</v>
      </c>
      <c r="N16" s="330">
        <f>1100000</f>
        <v>1100000</v>
      </c>
      <c r="O16" s="330">
        <f>0</f>
        <v>0</v>
      </c>
      <c r="P16" s="330">
        <f>0</f>
        <v>0</v>
      </c>
      <c r="Q16" s="330">
        <f>0</f>
        <v>0</v>
      </c>
    </row>
    <row r="17" spans="1:17" ht="26.25" customHeight="1">
      <c r="A17" s="378" t="s">
        <v>627</v>
      </c>
      <c r="B17" s="330">
        <f>7917060736.15</f>
        <v>7917060736.15</v>
      </c>
      <c r="C17" s="330">
        <f>7906482635.25</f>
        <v>7906482635.25</v>
      </c>
      <c r="D17" s="330">
        <f>2738492599.35</f>
        <v>2738492599.35</v>
      </c>
      <c r="E17" s="330">
        <f>346913466.02</f>
        <v>346913466.02</v>
      </c>
      <c r="F17" s="330">
        <f>1036188109.26</f>
        <v>1036188109.26</v>
      </c>
      <c r="G17" s="330">
        <f>1348259829.4</f>
        <v>1348259829.4</v>
      </c>
      <c r="H17" s="330">
        <f>7131194.67</f>
        <v>7131194.67</v>
      </c>
      <c r="I17" s="330">
        <f>34669674.99</f>
        <v>34669674.99</v>
      </c>
      <c r="J17" s="330">
        <f>5039892275.2</f>
        <v>5039892275.2</v>
      </c>
      <c r="K17" s="330">
        <f>62112290.92</f>
        <v>62112290.92</v>
      </c>
      <c r="L17" s="330">
        <f>15682275.41</f>
        <v>15682275.41</v>
      </c>
      <c r="M17" s="330">
        <f>19208.04</f>
        <v>19208.04</v>
      </c>
      <c r="N17" s="330">
        <f>15614311.34</f>
        <v>15614311.34</v>
      </c>
      <c r="O17" s="330">
        <f>10578100.9</f>
        <v>10578100.9</v>
      </c>
      <c r="P17" s="330">
        <f>8915082.07</f>
        <v>8915082.07</v>
      </c>
      <c r="Q17" s="330">
        <f>1663018.83</f>
        <v>1663018.83</v>
      </c>
    </row>
    <row r="18" spans="1:17" ht="21.75" customHeight="1">
      <c r="A18" s="379" t="s">
        <v>628</v>
      </c>
      <c r="B18" s="330">
        <f>215793595.1</f>
        <v>215793595.1</v>
      </c>
      <c r="C18" s="330">
        <f>215793595.1</f>
        <v>215793595.1</v>
      </c>
      <c r="D18" s="330">
        <f>96200180.04</f>
        <v>96200180.04</v>
      </c>
      <c r="E18" s="330">
        <f>59580369.09</f>
        <v>59580369.09</v>
      </c>
      <c r="F18" s="330">
        <f>14348174.93</f>
        <v>14348174.93</v>
      </c>
      <c r="G18" s="330">
        <f>21461624.59</f>
        <v>21461624.59</v>
      </c>
      <c r="H18" s="330">
        <f>810011.43</f>
        <v>810011.43</v>
      </c>
      <c r="I18" s="330">
        <f>5009904.44</f>
        <v>5009904.44</v>
      </c>
      <c r="J18" s="330">
        <f>114522635.88</f>
        <v>114522635.88</v>
      </c>
      <c r="K18" s="330">
        <f>41666.7</f>
        <v>41666.7</v>
      </c>
      <c r="L18" s="330">
        <f>0</f>
        <v>0</v>
      </c>
      <c r="M18" s="330">
        <f>19208.04</f>
        <v>19208.04</v>
      </c>
      <c r="N18" s="330">
        <f>0</f>
        <v>0</v>
      </c>
      <c r="O18" s="330">
        <f>0</f>
        <v>0</v>
      </c>
      <c r="P18" s="330">
        <f>0</f>
        <v>0</v>
      </c>
      <c r="Q18" s="330">
        <f>0</f>
        <v>0</v>
      </c>
    </row>
    <row r="19" spans="1:17" ht="21" customHeight="1">
      <c r="A19" s="380" t="s">
        <v>629</v>
      </c>
      <c r="B19" s="330">
        <f>7701267141.05</f>
        <v>7701267141.05</v>
      </c>
      <c r="C19" s="330">
        <f>7690689040.15</f>
        <v>7690689040.15</v>
      </c>
      <c r="D19" s="330">
        <f>2642292419.31</f>
        <v>2642292419.31</v>
      </c>
      <c r="E19" s="330">
        <f>287333096.93</f>
        <v>287333096.93</v>
      </c>
      <c r="F19" s="330">
        <f>1021839934.33</f>
        <v>1021839934.33</v>
      </c>
      <c r="G19" s="330">
        <f>1326798204.81</f>
        <v>1326798204.81</v>
      </c>
      <c r="H19" s="330">
        <f>6321183.24</f>
        <v>6321183.24</v>
      </c>
      <c r="I19" s="330">
        <f>29659770.55</f>
        <v>29659770.55</v>
      </c>
      <c r="J19" s="330">
        <f>4925369639.32</f>
        <v>4925369639.32</v>
      </c>
      <c r="K19" s="330">
        <f>62070624.22</f>
        <v>62070624.22</v>
      </c>
      <c r="L19" s="330">
        <f>15682275.41</f>
        <v>15682275.41</v>
      </c>
      <c r="M19" s="330">
        <f>0</f>
        <v>0</v>
      </c>
      <c r="N19" s="330">
        <f>15614311.34</f>
        <v>15614311.34</v>
      </c>
      <c r="O19" s="330">
        <f>10578100.9</f>
        <v>10578100.9</v>
      </c>
      <c r="P19" s="330">
        <f>8915082.07</f>
        <v>8915082.07</v>
      </c>
      <c r="Q19" s="330">
        <f>1663018.83</f>
        <v>1663018.83</v>
      </c>
    </row>
    <row r="20" spans="1:17" ht="24" customHeight="1">
      <c r="A20" s="381" t="s">
        <v>630</v>
      </c>
      <c r="B20" s="330">
        <f>3375854.71</f>
        <v>3375854.71</v>
      </c>
      <c r="C20" s="330">
        <f>3375854.71</f>
        <v>3375854.71</v>
      </c>
      <c r="D20" s="330">
        <f>2178491.23</f>
        <v>2178491.23</v>
      </c>
      <c r="E20" s="330">
        <f>270548.88</f>
        <v>270548.88</v>
      </c>
      <c r="F20" s="330">
        <f>0</f>
        <v>0</v>
      </c>
      <c r="G20" s="330">
        <f>1907942.35</f>
        <v>1907942.35</v>
      </c>
      <c r="H20" s="330">
        <f>0</f>
        <v>0</v>
      </c>
      <c r="I20" s="330">
        <f>42535</f>
        <v>42535</v>
      </c>
      <c r="J20" s="330">
        <f>950785</f>
        <v>950785</v>
      </c>
      <c r="K20" s="330">
        <f>0</f>
        <v>0</v>
      </c>
      <c r="L20" s="330">
        <f>85341.14</f>
        <v>85341.14</v>
      </c>
      <c r="M20" s="330">
        <f>118702.34</f>
        <v>118702.34</v>
      </c>
      <c r="N20" s="330">
        <f>0</f>
        <v>0</v>
      </c>
      <c r="O20" s="330">
        <f>0</f>
        <v>0</v>
      </c>
      <c r="P20" s="330">
        <f>0</f>
        <v>0</v>
      </c>
      <c r="Q20" s="330">
        <f>0</f>
        <v>0</v>
      </c>
    </row>
    <row r="21" spans="1:17" ht="24" customHeight="1">
      <c r="A21" s="376" t="s">
        <v>631</v>
      </c>
      <c r="B21" s="330">
        <f>135923617.55</f>
        <v>135923617.55</v>
      </c>
      <c r="C21" s="330">
        <f>135923617.55</f>
        <v>135923617.55</v>
      </c>
      <c r="D21" s="330">
        <f>36993687.29</f>
        <v>36993687.29</v>
      </c>
      <c r="E21" s="330">
        <f>4687327.73</f>
        <v>4687327.73</v>
      </c>
      <c r="F21" s="330">
        <f>4089378.93</f>
        <v>4089378.93</v>
      </c>
      <c r="G21" s="330">
        <f>24589549.76</f>
        <v>24589549.76</v>
      </c>
      <c r="H21" s="330">
        <f>3627430.87</f>
        <v>3627430.87</v>
      </c>
      <c r="I21" s="330">
        <f>0</f>
        <v>0</v>
      </c>
      <c r="J21" s="330">
        <f>38664.12</f>
        <v>38664.12</v>
      </c>
      <c r="K21" s="330">
        <f>2355084.82</f>
        <v>2355084.82</v>
      </c>
      <c r="L21" s="330">
        <f>63179183.04</f>
        <v>63179183.04</v>
      </c>
      <c r="M21" s="330">
        <f>23932299.3</f>
        <v>23932299.3</v>
      </c>
      <c r="N21" s="330">
        <f>9424698.98</f>
        <v>9424698.98</v>
      </c>
      <c r="O21" s="330">
        <f>0</f>
        <v>0</v>
      </c>
      <c r="P21" s="330">
        <f>0</f>
        <v>0</v>
      </c>
      <c r="Q21" s="330">
        <f>0</f>
        <v>0</v>
      </c>
    </row>
    <row r="22" spans="1:17" ht="21" customHeight="1">
      <c r="A22" s="380" t="s">
        <v>632</v>
      </c>
      <c r="B22" s="330">
        <f>105167684.09</f>
        <v>105167684.09</v>
      </c>
      <c r="C22" s="330">
        <f>105167684.09</f>
        <v>105167684.09</v>
      </c>
      <c r="D22" s="330">
        <f>16717219.5</f>
        <v>16717219.5</v>
      </c>
      <c r="E22" s="330">
        <f>1889055.04</f>
        <v>1889055.04</v>
      </c>
      <c r="F22" s="330">
        <f>2579793.34</f>
        <v>2579793.34</v>
      </c>
      <c r="G22" s="330">
        <f>11903991.99</f>
        <v>11903991.99</v>
      </c>
      <c r="H22" s="330">
        <f>344379.13</f>
        <v>344379.13</v>
      </c>
      <c r="I22" s="330">
        <f>0</f>
        <v>0</v>
      </c>
      <c r="J22" s="330">
        <f>38664.12</f>
        <v>38664.12</v>
      </c>
      <c r="K22" s="330">
        <f>2220105.41</f>
        <v>2220105.41</v>
      </c>
      <c r="L22" s="330">
        <f>59752284.21</f>
        <v>59752284.21</v>
      </c>
      <c r="M22" s="330">
        <f>17529367.2</f>
        <v>17529367.2</v>
      </c>
      <c r="N22" s="330">
        <f>8910043.65</f>
        <v>8910043.65</v>
      </c>
      <c r="O22" s="330">
        <f>0</f>
        <v>0</v>
      </c>
      <c r="P22" s="330">
        <f>0</f>
        <v>0</v>
      </c>
      <c r="Q22" s="330">
        <f>0</f>
        <v>0</v>
      </c>
    </row>
    <row r="23" spans="1:17" ht="19.5" customHeight="1" thickBot="1">
      <c r="A23" s="382" t="s">
        <v>633</v>
      </c>
      <c r="B23" s="330">
        <f>30755933.46</f>
        <v>30755933.46</v>
      </c>
      <c r="C23" s="330">
        <f>30755933.46</f>
        <v>30755933.46</v>
      </c>
      <c r="D23" s="330">
        <f>20276467.79</f>
        <v>20276467.79</v>
      </c>
      <c r="E23" s="330">
        <f>2798272.69</f>
        <v>2798272.69</v>
      </c>
      <c r="F23" s="330">
        <f>1509585.59</f>
        <v>1509585.59</v>
      </c>
      <c r="G23" s="330">
        <f>12685557.77</f>
        <v>12685557.77</v>
      </c>
      <c r="H23" s="330">
        <f>3283051.74</f>
        <v>3283051.74</v>
      </c>
      <c r="I23" s="330">
        <f>0</f>
        <v>0</v>
      </c>
      <c r="J23" s="330">
        <f>0</f>
        <v>0</v>
      </c>
      <c r="K23" s="330">
        <f>134979.41</f>
        <v>134979.41</v>
      </c>
      <c r="L23" s="330">
        <f>3426898.83</f>
        <v>3426898.83</v>
      </c>
      <c r="M23" s="330">
        <f>6402932.1</f>
        <v>6402932.1</v>
      </c>
      <c r="N23" s="330">
        <f>514655.33</f>
        <v>514655.33</v>
      </c>
      <c r="O23" s="330">
        <f>0</f>
        <v>0</v>
      </c>
      <c r="P23" s="330">
        <f>0</f>
        <v>0</v>
      </c>
      <c r="Q23" s="330">
        <f>0</f>
        <v>0</v>
      </c>
    </row>
    <row r="24" spans="1:17" ht="13.5" customHeight="1">
      <c r="A24" s="327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</row>
    <row r="25" spans="1:17" ht="13.5" customHeight="1">
      <c r="A25" s="327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</row>
    <row r="26" spans="1:17" ht="13.5" customHeight="1">
      <c r="A26" s="327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</row>
    <row r="27" spans="1:17" ht="13.5" customHeight="1">
      <c r="A27" s="327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</row>
    <row r="28" spans="1:17" ht="13.5" customHeight="1">
      <c r="A28" s="327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</row>
    <row r="29" spans="1:17" ht="13.5" customHeight="1">
      <c r="A29" s="327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</row>
    <row r="30" spans="1:17" ht="7.5" customHeight="1">
      <c r="A30" s="298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327"/>
      <c r="O30" s="327"/>
      <c r="P30" s="327"/>
      <c r="Q30" s="327"/>
    </row>
    <row r="31" spans="1:17" ht="13.5" customHeight="1">
      <c r="A31" s="327"/>
      <c r="B31" s="639" t="s">
        <v>662</v>
      </c>
      <c r="C31" s="639"/>
      <c r="D31" s="639"/>
      <c r="E31" s="639"/>
      <c r="F31" s="639"/>
      <c r="G31" s="639"/>
      <c r="H31" s="639"/>
      <c r="I31" s="639"/>
      <c r="J31" s="639"/>
      <c r="K31" s="639"/>
      <c r="L31" s="639"/>
      <c r="M31" s="639"/>
      <c r="N31" s="327"/>
      <c r="O31" s="327"/>
      <c r="P31" s="327"/>
      <c r="Q31" s="327"/>
    </row>
    <row r="32" spans="1:17" ht="13.5" customHeight="1">
      <c r="A32" s="327"/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</row>
    <row r="33" spans="1:17" ht="13.5" customHeight="1">
      <c r="A33" s="327"/>
      <c r="B33" s="622" t="s">
        <v>460</v>
      </c>
      <c r="C33" s="623"/>
      <c r="D33" s="623"/>
      <c r="E33" s="624"/>
      <c r="F33" s="703" t="s">
        <v>663</v>
      </c>
      <c r="G33" s="627" t="s">
        <v>664</v>
      </c>
      <c r="H33" s="617"/>
      <c r="I33" s="617"/>
      <c r="J33" s="617"/>
      <c r="K33" s="617"/>
      <c r="L33" s="618"/>
      <c r="M33" s="327"/>
      <c r="N33" s="327"/>
      <c r="O33" s="327"/>
      <c r="P33" s="327"/>
      <c r="Q33" s="327"/>
    </row>
    <row r="34" spans="1:17" ht="13.5" customHeight="1">
      <c r="A34" s="327"/>
      <c r="B34" s="625"/>
      <c r="C34" s="615"/>
      <c r="D34" s="615"/>
      <c r="E34" s="616"/>
      <c r="F34" s="704"/>
      <c r="G34" s="706" t="s">
        <v>665</v>
      </c>
      <c r="H34" s="650" t="s">
        <v>610</v>
      </c>
      <c r="I34" s="650" t="s">
        <v>611</v>
      </c>
      <c r="J34" s="650" t="s">
        <v>642</v>
      </c>
      <c r="K34" s="650" t="s">
        <v>666</v>
      </c>
      <c r="L34" s="651" t="s">
        <v>667</v>
      </c>
      <c r="M34" s="327"/>
      <c r="N34" s="327"/>
      <c r="O34" s="327"/>
      <c r="P34" s="327"/>
      <c r="Q34" s="327"/>
    </row>
    <row r="35" spans="1:17" ht="13.5" customHeight="1">
      <c r="A35" s="327"/>
      <c r="B35" s="625"/>
      <c r="C35" s="615"/>
      <c r="D35" s="615"/>
      <c r="E35" s="616"/>
      <c r="F35" s="704"/>
      <c r="G35" s="706"/>
      <c r="H35" s="650"/>
      <c r="I35" s="650"/>
      <c r="J35" s="650"/>
      <c r="K35" s="650"/>
      <c r="L35" s="651"/>
      <c r="M35" s="327"/>
      <c r="N35" s="327"/>
      <c r="O35" s="327"/>
      <c r="P35" s="327"/>
      <c r="Q35" s="327"/>
    </row>
    <row r="36" spans="1:17" ht="11.25" customHeight="1">
      <c r="A36" s="327"/>
      <c r="B36" s="625"/>
      <c r="C36" s="615"/>
      <c r="D36" s="615"/>
      <c r="E36" s="616"/>
      <c r="F36" s="704"/>
      <c r="G36" s="706"/>
      <c r="H36" s="650"/>
      <c r="I36" s="650"/>
      <c r="J36" s="650"/>
      <c r="K36" s="650"/>
      <c r="L36" s="651"/>
      <c r="M36" s="327"/>
      <c r="N36" s="327"/>
      <c r="O36" s="327"/>
      <c r="P36" s="327"/>
      <c r="Q36" s="327"/>
    </row>
    <row r="37" spans="1:17" ht="11.25" customHeight="1">
      <c r="A37" s="327"/>
      <c r="B37" s="700"/>
      <c r="C37" s="701"/>
      <c r="D37" s="701"/>
      <c r="E37" s="702"/>
      <c r="F37" s="705"/>
      <c r="G37" s="706"/>
      <c r="H37" s="650"/>
      <c r="I37" s="650"/>
      <c r="J37" s="650"/>
      <c r="K37" s="650"/>
      <c r="L37" s="651"/>
      <c r="M37" s="327"/>
      <c r="N37" s="327"/>
      <c r="O37" s="327"/>
      <c r="P37" s="327"/>
      <c r="Q37" s="327"/>
    </row>
    <row r="38" spans="1:17" ht="13.5" customHeight="1">
      <c r="A38" s="327"/>
      <c r="B38" s="650">
        <v>1</v>
      </c>
      <c r="C38" s="650"/>
      <c r="D38" s="650"/>
      <c r="E38" s="650"/>
      <c r="F38" s="332">
        <v>2</v>
      </c>
      <c r="G38" s="332">
        <v>3</v>
      </c>
      <c r="H38" s="332">
        <v>4</v>
      </c>
      <c r="I38" s="332">
        <v>5</v>
      </c>
      <c r="J38" s="332">
        <v>6</v>
      </c>
      <c r="K38" s="332">
        <v>7</v>
      </c>
      <c r="L38" s="333">
        <v>8</v>
      </c>
      <c r="M38" s="327"/>
      <c r="N38" s="327"/>
      <c r="O38" s="327"/>
      <c r="P38" s="327"/>
      <c r="Q38" s="327"/>
    </row>
    <row r="39" spans="1:17" ht="33.75" customHeight="1">
      <c r="A39" s="327"/>
      <c r="B39" s="619" t="s">
        <v>668</v>
      </c>
      <c r="C39" s="620"/>
      <c r="D39" s="620"/>
      <c r="E39" s="621"/>
      <c r="F39" s="330">
        <f>1081994351.06</f>
        <v>1081994351.06</v>
      </c>
      <c r="G39" s="330">
        <f>598313486.48</f>
        <v>598313486.48</v>
      </c>
      <c r="H39" s="330">
        <f>62621151.65</f>
        <v>62621151.65</v>
      </c>
      <c r="I39" s="330">
        <f>229173355.91</f>
        <v>229173355.91</v>
      </c>
      <c r="J39" s="330">
        <f>303676157.02</f>
        <v>303676157.02</v>
      </c>
      <c r="K39" s="330">
        <f>2842821.9</f>
        <v>2842821.9</v>
      </c>
      <c r="L39" s="330">
        <f>483680864.58</f>
        <v>483680864.58</v>
      </c>
      <c r="M39" s="327"/>
      <c r="N39" s="327"/>
      <c r="O39" s="327"/>
      <c r="P39" s="327"/>
      <c r="Q39" s="327"/>
    </row>
    <row r="40" spans="1:17" ht="33.75" customHeight="1">
      <c r="A40" s="327"/>
      <c r="B40" s="619" t="s">
        <v>669</v>
      </c>
      <c r="C40" s="620"/>
      <c r="D40" s="620"/>
      <c r="E40" s="621"/>
      <c r="F40" s="330">
        <f>7576273.81</f>
        <v>7576273.81</v>
      </c>
      <c r="G40" s="330">
        <f>4266491.66</f>
        <v>4266491.66</v>
      </c>
      <c r="H40" s="330">
        <f>1634000</f>
        <v>1634000</v>
      </c>
      <c r="I40" s="330">
        <f>663551.1</f>
        <v>663551.1</v>
      </c>
      <c r="J40" s="330">
        <f>1968940.56</f>
        <v>1968940.56</v>
      </c>
      <c r="K40" s="330">
        <f>0</f>
        <v>0</v>
      </c>
      <c r="L40" s="330">
        <f>3309782.15</f>
        <v>3309782.15</v>
      </c>
      <c r="M40" s="327"/>
      <c r="N40" s="327"/>
      <c r="O40" s="327"/>
      <c r="P40" s="327"/>
      <c r="Q40" s="327"/>
    </row>
    <row r="41" spans="1:17" ht="33.75" customHeight="1">
      <c r="A41" s="327"/>
      <c r="B41" s="619" t="s">
        <v>670</v>
      </c>
      <c r="C41" s="620"/>
      <c r="D41" s="620"/>
      <c r="E41" s="621"/>
      <c r="F41" s="330">
        <f>290839937.79</f>
        <v>290839937.79</v>
      </c>
      <c r="G41" s="330">
        <f>221834930.43</f>
        <v>221834930.43</v>
      </c>
      <c r="H41" s="330">
        <f>18624725.57</f>
        <v>18624725.57</v>
      </c>
      <c r="I41" s="330">
        <f>149574288.95</f>
        <v>149574288.95</v>
      </c>
      <c r="J41" s="330">
        <f>53451545.57</f>
        <v>53451545.57</v>
      </c>
      <c r="K41" s="330">
        <f>184370.34</f>
        <v>184370.34</v>
      </c>
      <c r="L41" s="330">
        <f>69005007.36</f>
        <v>69005007.36</v>
      </c>
      <c r="M41" s="327"/>
      <c r="N41" s="327"/>
      <c r="O41" s="327"/>
      <c r="P41" s="327"/>
      <c r="Q41" s="327"/>
    </row>
    <row r="42" spans="1:17" ht="22.5" customHeight="1">
      <c r="A42" s="327"/>
      <c r="B42" s="619" t="s">
        <v>671</v>
      </c>
      <c r="C42" s="620"/>
      <c r="D42" s="620"/>
      <c r="E42" s="621"/>
      <c r="F42" s="330">
        <f>28770101.24</f>
        <v>28770101.24</v>
      </c>
      <c r="G42" s="330">
        <f>16284966.51</f>
        <v>16284966.51</v>
      </c>
      <c r="H42" s="330">
        <f>2490600</f>
        <v>2490600</v>
      </c>
      <c r="I42" s="330">
        <f>1355566.34</f>
        <v>1355566.34</v>
      </c>
      <c r="J42" s="330">
        <f>12008176.27</f>
        <v>12008176.27</v>
      </c>
      <c r="K42" s="330">
        <f>430623.9</f>
        <v>430623.9</v>
      </c>
      <c r="L42" s="330">
        <f>12485134.73</f>
        <v>12485134.73</v>
      </c>
      <c r="M42" s="327"/>
      <c r="N42" s="327"/>
      <c r="O42" s="327"/>
      <c r="P42" s="327"/>
      <c r="Q42" s="327"/>
    </row>
    <row r="43" spans="1:17" ht="33.75" customHeight="1">
      <c r="A43" s="327"/>
      <c r="B43" s="619" t="s">
        <v>672</v>
      </c>
      <c r="C43" s="620"/>
      <c r="D43" s="620"/>
      <c r="E43" s="621"/>
      <c r="F43" s="330">
        <f>2338491.02</f>
        <v>2338491.02</v>
      </c>
      <c r="G43" s="330">
        <f>2337376.06</f>
        <v>2337376.06</v>
      </c>
      <c r="H43" s="330">
        <f>0</f>
        <v>0</v>
      </c>
      <c r="I43" s="330">
        <f>0</f>
        <v>0</v>
      </c>
      <c r="J43" s="330">
        <f>1129129.22</f>
        <v>1129129.22</v>
      </c>
      <c r="K43" s="330">
        <f>1208246.84</f>
        <v>1208246.84</v>
      </c>
      <c r="L43" s="330">
        <f>1114.96</f>
        <v>1114.96</v>
      </c>
      <c r="M43" s="327"/>
      <c r="N43" s="327"/>
      <c r="O43" s="327"/>
      <c r="P43" s="327"/>
      <c r="Q43" s="327"/>
    </row>
    <row r="44" spans="1:17" ht="33.75" customHeight="1">
      <c r="A44" s="327"/>
      <c r="B44" s="619" t="s">
        <v>673</v>
      </c>
      <c r="C44" s="620"/>
      <c r="D44" s="620"/>
      <c r="E44" s="621"/>
      <c r="F44" s="330">
        <f>3425092.67</f>
        <v>3425092.67</v>
      </c>
      <c r="G44" s="330">
        <f>2226342.66</f>
        <v>2226342.66</v>
      </c>
      <c r="H44" s="330">
        <f>0</f>
        <v>0</v>
      </c>
      <c r="I44" s="330">
        <f>9747.99</f>
        <v>9747.99</v>
      </c>
      <c r="J44" s="330">
        <f>2216594.67</f>
        <v>2216594.67</v>
      </c>
      <c r="K44" s="330">
        <f>0</f>
        <v>0</v>
      </c>
      <c r="L44" s="330">
        <f>1198750.01</f>
        <v>1198750.01</v>
      </c>
      <c r="M44" s="327"/>
      <c r="N44" s="327"/>
      <c r="O44" s="327"/>
      <c r="P44" s="327"/>
      <c r="Q44" s="327"/>
    </row>
    <row r="45" spans="1:17" ht="22.5" customHeight="1">
      <c r="A45" s="327"/>
      <c r="B45" s="619" t="s">
        <v>674</v>
      </c>
      <c r="C45" s="620"/>
      <c r="D45" s="620"/>
      <c r="E45" s="621"/>
      <c r="F45" s="330">
        <f>263757.23</f>
        <v>263757.23</v>
      </c>
      <c r="G45" s="330">
        <f>260557.23</f>
        <v>260557.23</v>
      </c>
      <c r="H45" s="330">
        <f>5557.23</f>
        <v>5557.23</v>
      </c>
      <c r="I45" s="330">
        <f>0</f>
        <v>0</v>
      </c>
      <c r="J45" s="330">
        <f>255000</f>
        <v>255000</v>
      </c>
      <c r="K45" s="330">
        <f>0</f>
        <v>0</v>
      </c>
      <c r="L45" s="330">
        <f>3200</f>
        <v>3200</v>
      </c>
      <c r="M45" s="327"/>
      <c r="N45" s="327"/>
      <c r="O45" s="327"/>
      <c r="P45" s="327"/>
      <c r="Q45" s="327"/>
    </row>
    <row r="46" spans="1:17" ht="13.5" customHeight="1">
      <c r="A46" s="327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</row>
    <row r="47" spans="1:17" ht="13.5" customHeight="1">
      <c r="A47" s="327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</row>
    <row r="48" spans="1:17" ht="75" customHeight="1">
      <c r="A48" s="637" t="str">
        <f>CONCATENATE("Informacja z wykonania budżetów gmin za ",$C$56," ",$B$57," roku")</f>
        <v>Informacja z wykonania budżetów gmin za 2 kwartały 2008 roku</v>
      </c>
      <c r="B48" s="637"/>
      <c r="C48" s="637"/>
      <c r="D48" s="637"/>
      <c r="E48" s="637"/>
      <c r="F48" s="637"/>
      <c r="G48" s="637"/>
      <c r="H48" s="637"/>
      <c r="I48" s="637"/>
      <c r="J48" s="637"/>
      <c r="K48" s="637"/>
      <c r="L48" s="637"/>
      <c r="M48" s="637"/>
      <c r="N48" s="327"/>
      <c r="O48" s="327"/>
      <c r="P48" s="327"/>
      <c r="Q48" s="327"/>
    </row>
    <row r="49" spans="1:17" ht="13.5" customHeight="1">
      <c r="A49" s="327"/>
      <c r="B49" s="323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</row>
    <row r="50" spans="1:17" ht="13.5" customHeight="1">
      <c r="A50" s="327"/>
      <c r="B50" s="324"/>
      <c r="C50" s="627"/>
      <c r="D50" s="617"/>
      <c r="E50" s="617"/>
      <c r="F50" s="618"/>
      <c r="G50" s="627" t="s">
        <v>461</v>
      </c>
      <c r="H50" s="618"/>
      <c r="I50" s="627" t="s">
        <v>675</v>
      </c>
      <c r="J50" s="618"/>
      <c r="K50" s="324"/>
      <c r="L50" s="327"/>
      <c r="M50" s="327"/>
      <c r="N50" s="327"/>
      <c r="O50" s="327"/>
      <c r="P50" s="327"/>
      <c r="Q50" s="327"/>
    </row>
    <row r="51" spans="1:17" ht="13.5" customHeight="1">
      <c r="A51" s="327"/>
      <c r="B51" s="325"/>
      <c r="C51" s="619" t="s">
        <v>676</v>
      </c>
      <c r="D51" s="620"/>
      <c r="E51" s="620"/>
      <c r="F51" s="621"/>
      <c r="G51" s="631">
        <f>2256</f>
        <v>2256</v>
      </c>
      <c r="H51" s="632"/>
      <c r="I51" s="633">
        <f>4554144540.12</f>
        <v>4554144540.12</v>
      </c>
      <c r="J51" s="626"/>
      <c r="K51" s="326"/>
      <c r="L51" s="327"/>
      <c r="M51" s="327"/>
      <c r="N51" s="327"/>
      <c r="O51" s="327"/>
      <c r="P51" s="327"/>
      <c r="Q51" s="327"/>
    </row>
    <row r="52" spans="1:17" ht="13.5" customHeight="1">
      <c r="A52" s="327"/>
      <c r="B52" s="325"/>
      <c r="C52" s="619" t="s">
        <v>677</v>
      </c>
      <c r="D52" s="620"/>
      <c r="E52" s="620"/>
      <c r="F52" s="621"/>
      <c r="G52" s="631">
        <f>157</f>
        <v>157</v>
      </c>
      <c r="H52" s="632"/>
      <c r="I52" s="633">
        <f>-160798324.7</f>
        <v>-160798324.7</v>
      </c>
      <c r="J52" s="626"/>
      <c r="K52" s="326"/>
      <c r="L52" s="327"/>
      <c r="M52" s="327"/>
      <c r="N52" s="327"/>
      <c r="O52" s="327"/>
      <c r="P52" s="327"/>
      <c r="Q52" s="327"/>
    </row>
    <row r="53" spans="1:17" ht="13.5" customHeight="1">
      <c r="A53" s="327"/>
      <c r="B53" s="325"/>
      <c r="C53" s="619" t="s">
        <v>678</v>
      </c>
      <c r="D53" s="620"/>
      <c r="E53" s="620"/>
      <c r="F53" s="621"/>
      <c r="G53" s="631">
        <f>0</f>
        <v>0</v>
      </c>
      <c r="H53" s="632"/>
      <c r="I53" s="633">
        <f>0</f>
        <v>0</v>
      </c>
      <c r="J53" s="626"/>
      <c r="K53" s="326"/>
      <c r="L53" s="327"/>
      <c r="M53" s="327"/>
      <c r="N53" s="327"/>
      <c r="O53" s="327"/>
      <c r="P53" s="327"/>
      <c r="Q53" s="327"/>
    </row>
    <row r="54" spans="1:17" ht="13.5" customHeight="1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</row>
    <row r="55" spans="1:17" ht="15" customHeight="1">
      <c r="A55" s="327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</row>
    <row r="56" spans="1:17" ht="13.5" customHeight="1" hidden="1">
      <c r="A56" s="383" t="s">
        <v>586</v>
      </c>
      <c r="B56" s="383">
        <f>2</f>
        <v>2</v>
      </c>
      <c r="C56" s="383" t="s">
        <v>697</v>
      </c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</row>
    <row r="57" spans="1:17" ht="13.5" customHeight="1" hidden="1">
      <c r="A57" s="383" t="s">
        <v>587</v>
      </c>
      <c r="B57" s="383">
        <f>2008</f>
        <v>2008</v>
      </c>
      <c r="C57" s="384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</row>
    <row r="58" spans="1:17" ht="13.5" customHeight="1" hidden="1">
      <c r="A58" s="383" t="s">
        <v>588</v>
      </c>
      <c r="B58" s="385" t="str">
        <f>"Aug 18 2008 12:00AM"</f>
        <v>Aug 18 2008 12:00AM</v>
      </c>
      <c r="C58" s="384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</row>
  </sheetData>
  <mergeCells count="53">
    <mergeCell ref="Q7:Q11"/>
    <mergeCell ref="L7:L11"/>
    <mergeCell ref="M7:M11"/>
    <mergeCell ref="N7:N11"/>
    <mergeCell ref="P7:P11"/>
    <mergeCell ref="I7:I11"/>
    <mergeCell ref="J7:J11"/>
    <mergeCell ref="L34:L37"/>
    <mergeCell ref="K34:K37"/>
    <mergeCell ref="D7:D11"/>
    <mergeCell ref="E7:E11"/>
    <mergeCell ref="G7:G11"/>
    <mergeCell ref="F7:F11"/>
    <mergeCell ref="B39:E39"/>
    <mergeCell ref="F33:F37"/>
    <mergeCell ref="A1:M1"/>
    <mergeCell ref="C5:M5"/>
    <mergeCell ref="A3:M3"/>
    <mergeCell ref="K7:K11"/>
    <mergeCell ref="C7:C11"/>
    <mergeCell ref="B6:B11"/>
    <mergeCell ref="A6:A11"/>
    <mergeCell ref="C6:N6"/>
    <mergeCell ref="G53:H53"/>
    <mergeCell ref="I53:J53"/>
    <mergeCell ref="C50:F50"/>
    <mergeCell ref="C51:F51"/>
    <mergeCell ref="C52:F52"/>
    <mergeCell ref="C53:F53"/>
    <mergeCell ref="G51:H51"/>
    <mergeCell ref="G50:H50"/>
    <mergeCell ref="G52:H52"/>
    <mergeCell ref="I52:J52"/>
    <mergeCell ref="I51:J51"/>
    <mergeCell ref="B31:M31"/>
    <mergeCell ref="I50:J50"/>
    <mergeCell ref="B38:E38"/>
    <mergeCell ref="B33:E37"/>
    <mergeCell ref="B45:E45"/>
    <mergeCell ref="A48:M48"/>
    <mergeCell ref="B41:E41"/>
    <mergeCell ref="B42:E42"/>
    <mergeCell ref="G34:G37"/>
    <mergeCell ref="O6:Q6"/>
    <mergeCell ref="O7:O11"/>
    <mergeCell ref="H7:H11"/>
    <mergeCell ref="B44:E44"/>
    <mergeCell ref="G33:L33"/>
    <mergeCell ref="H34:H37"/>
    <mergeCell ref="I34:I37"/>
    <mergeCell ref="J34:J37"/>
    <mergeCell ref="B43:E43"/>
    <mergeCell ref="B40:E40"/>
  </mergeCells>
  <printOptions/>
  <pageMargins left="0" right="0" top="0.1968503937007874" bottom="0.1968503937007874" header="0" footer="0"/>
  <pageSetup horizontalDpi="300" verticalDpi="300" orientation="landscape" paperSize="9" scale="70" r:id="rId1"/>
  <headerFooter alignWithMargins="0">
    <oddFooter>&amp;L&amp;D&amp;RStrona &amp;P z &amp;N</oddFooter>
  </headerFooter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24"/>
  <sheetViews>
    <sheetView showGridLines="0" workbookViewId="0" topLeftCell="A272">
      <selection activeCell="A278" sqref="A278"/>
    </sheetView>
  </sheetViews>
  <sheetFormatPr defaultColWidth="9.140625" defaultRowHeight="12.75"/>
  <cols>
    <col min="1" max="1" width="5.57421875" style="1" customWidth="1"/>
    <col min="2" max="2" width="5.00390625" style="1" customWidth="1"/>
    <col min="3" max="3" width="22.28125" style="1" bestFit="1" customWidth="1"/>
    <col min="4" max="4" width="10.140625" style="1" customWidth="1"/>
    <col min="5" max="5" width="16.00390625" style="1" customWidth="1"/>
    <col min="6" max="6" width="16.421875" style="1" customWidth="1"/>
    <col min="7" max="7" width="16.140625" style="1" customWidth="1"/>
    <col min="8" max="8" width="16.00390625" style="1" customWidth="1"/>
    <col min="9" max="9" width="13.7109375" style="1" customWidth="1"/>
    <col min="10" max="10" width="12.140625" style="1" customWidth="1"/>
    <col min="11" max="11" width="12.00390625" style="1" customWidth="1"/>
    <col min="12" max="12" width="5.7109375" style="1" customWidth="1"/>
    <col min="13" max="13" width="4.57421875" style="1" customWidth="1"/>
    <col min="14" max="16384" width="8.8515625" style="1" customWidth="1"/>
  </cols>
  <sheetData>
    <row r="1" spans="1:13" ht="18" customHeight="1">
      <c r="A1" s="753" t="s">
        <v>701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</row>
    <row r="2" spans="1:13" ht="15.75" customHeight="1">
      <c r="A2" s="753"/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</row>
    <row r="3" spans="1:2" ht="13.5" thickBot="1">
      <c r="A3" s="2"/>
      <c r="B3" s="2"/>
    </row>
    <row r="4" spans="1:13" ht="12.75" customHeight="1" thickBot="1">
      <c r="A4" s="749" t="s">
        <v>0</v>
      </c>
      <c r="B4" s="749" t="s">
        <v>47</v>
      </c>
      <c r="C4" s="751" t="s">
        <v>132</v>
      </c>
      <c r="D4" s="714" t="s">
        <v>2</v>
      </c>
      <c r="E4" s="722" t="s">
        <v>479</v>
      </c>
      <c r="F4" s="714" t="s">
        <v>480</v>
      </c>
      <c r="G4" s="715" t="s">
        <v>482</v>
      </c>
      <c r="H4" s="717" t="s">
        <v>4</v>
      </c>
      <c r="I4" s="3" t="s">
        <v>5</v>
      </c>
      <c r="J4" s="714" t="s">
        <v>6</v>
      </c>
      <c r="K4" s="707" t="s">
        <v>7</v>
      </c>
      <c r="L4" s="709" t="s">
        <v>49</v>
      </c>
      <c r="M4" s="709" t="s">
        <v>50</v>
      </c>
    </row>
    <row r="5" spans="1:13" ht="39.75" customHeight="1" thickBot="1">
      <c r="A5" s="750"/>
      <c r="B5" s="750"/>
      <c r="C5" s="752"/>
      <c r="D5" s="721"/>
      <c r="E5" s="723"/>
      <c r="F5" s="710"/>
      <c r="G5" s="716"/>
      <c r="H5" s="718"/>
      <c r="I5" s="4" t="s">
        <v>10</v>
      </c>
      <c r="J5" s="710"/>
      <c r="K5" s="708"/>
      <c r="L5" s="710"/>
      <c r="M5" s="710"/>
    </row>
    <row r="6" spans="1:13" ht="13.5" customHeight="1" thickBot="1">
      <c r="A6" s="750"/>
      <c r="B6" s="750"/>
      <c r="C6" s="752"/>
      <c r="D6" s="721"/>
      <c r="E6" s="711" t="s">
        <v>11</v>
      </c>
      <c r="F6" s="711"/>
      <c r="G6" s="711"/>
      <c r="H6" s="711"/>
      <c r="I6" s="711"/>
      <c r="J6" s="711"/>
      <c r="K6" s="711"/>
      <c r="L6" s="712" t="s">
        <v>12</v>
      </c>
      <c r="M6" s="713"/>
    </row>
    <row r="7" spans="1:13" s="10" customFormat="1" ht="12" thickBot="1">
      <c r="A7" s="116">
        <v>1</v>
      </c>
      <c r="B7" s="103">
        <v>2</v>
      </c>
      <c r="C7" s="117">
        <v>3</v>
      </c>
      <c r="D7" s="90">
        <v>4</v>
      </c>
      <c r="E7" s="95">
        <v>5</v>
      </c>
      <c r="F7" s="137">
        <v>6</v>
      </c>
      <c r="G7" s="7">
        <v>7</v>
      </c>
      <c r="H7" s="116">
        <v>8</v>
      </c>
      <c r="I7" s="6">
        <v>9</v>
      </c>
      <c r="J7" s="8">
        <v>10</v>
      </c>
      <c r="K7" s="9">
        <v>11</v>
      </c>
      <c r="L7" s="5">
        <v>12</v>
      </c>
      <c r="M7" s="6">
        <v>13</v>
      </c>
    </row>
    <row r="8" spans="1:13" ht="12.75">
      <c r="A8" s="120" t="s">
        <v>13</v>
      </c>
      <c r="B8" s="121" t="s">
        <v>133</v>
      </c>
      <c r="C8" s="125" t="s">
        <v>134</v>
      </c>
      <c r="D8" s="128">
        <v>88501</v>
      </c>
      <c r="E8" s="134">
        <v>52271434</v>
      </c>
      <c r="F8" s="131">
        <v>52804334</v>
      </c>
      <c r="G8" s="138">
        <f aca="true" t="shared" si="0" ref="G8:G71">E8-F8</f>
        <v>-532900</v>
      </c>
      <c r="H8" s="141">
        <v>6961262.4</v>
      </c>
      <c r="I8" s="142">
        <v>0</v>
      </c>
      <c r="J8" s="30">
        <f aca="true" t="shared" si="1" ref="J8:J71">H8/D8</f>
        <v>78.65744341871844</v>
      </c>
      <c r="K8" s="44">
        <f aca="true" t="shared" si="2" ref="K8:K71">I8/D8</f>
        <v>0</v>
      </c>
      <c r="L8" s="45">
        <f aca="true" t="shared" si="3" ref="L8:L71">H8/E8*100</f>
        <v>13.317527121984066</v>
      </c>
      <c r="M8" s="46">
        <f aca="true" t="shared" si="4" ref="M8:M71">I8/E8*100</f>
        <v>0</v>
      </c>
    </row>
    <row r="9" spans="1:13" ht="12.75">
      <c r="A9" s="122" t="s">
        <v>13</v>
      </c>
      <c r="B9" s="119" t="s">
        <v>13</v>
      </c>
      <c r="C9" s="126" t="s">
        <v>135</v>
      </c>
      <c r="D9" s="129">
        <v>104617</v>
      </c>
      <c r="E9" s="135">
        <v>70409098</v>
      </c>
      <c r="F9" s="132">
        <v>70409098</v>
      </c>
      <c r="G9" s="139">
        <f t="shared" si="0"/>
        <v>0</v>
      </c>
      <c r="H9" s="143">
        <v>18485554.3</v>
      </c>
      <c r="I9" s="144">
        <v>142.46</v>
      </c>
      <c r="J9" s="34">
        <f t="shared" si="1"/>
        <v>176.6974229809687</v>
      </c>
      <c r="K9" s="47">
        <f t="shared" si="2"/>
        <v>0.0013617289733026182</v>
      </c>
      <c r="L9" s="45">
        <f t="shared" si="3"/>
        <v>26.254496684505174</v>
      </c>
      <c r="M9" s="46">
        <f t="shared" si="4"/>
        <v>0.00020233180660828804</v>
      </c>
    </row>
    <row r="10" spans="1:13" ht="12.75">
      <c r="A10" s="122" t="s">
        <v>13</v>
      </c>
      <c r="B10" s="119" t="s">
        <v>136</v>
      </c>
      <c r="C10" s="126" t="s">
        <v>137</v>
      </c>
      <c r="D10" s="129">
        <v>87670</v>
      </c>
      <c r="E10" s="135">
        <v>71281627</v>
      </c>
      <c r="F10" s="132">
        <v>79214167</v>
      </c>
      <c r="G10" s="139">
        <f t="shared" si="0"/>
        <v>-7932540</v>
      </c>
      <c r="H10" s="143">
        <v>17941910.81</v>
      </c>
      <c r="I10" s="144">
        <v>85509.39</v>
      </c>
      <c r="J10" s="34">
        <f t="shared" si="1"/>
        <v>204.65279810653587</v>
      </c>
      <c r="K10" s="47">
        <f t="shared" si="2"/>
        <v>0.9753551956199384</v>
      </c>
      <c r="L10" s="45">
        <f t="shared" si="3"/>
        <v>25.1704563505544</v>
      </c>
      <c r="M10" s="46">
        <f t="shared" si="4"/>
        <v>0.11995993020754142</v>
      </c>
    </row>
    <row r="11" spans="1:13" ht="12.75">
      <c r="A11" s="122" t="s">
        <v>13</v>
      </c>
      <c r="B11" s="119" t="s">
        <v>15</v>
      </c>
      <c r="C11" s="126" t="s">
        <v>138</v>
      </c>
      <c r="D11" s="129">
        <v>36464</v>
      </c>
      <c r="E11" s="135">
        <v>31704468</v>
      </c>
      <c r="F11" s="132">
        <v>32904468</v>
      </c>
      <c r="G11" s="139">
        <f t="shared" si="0"/>
        <v>-1200000</v>
      </c>
      <c r="H11" s="143">
        <v>7800000</v>
      </c>
      <c r="I11" s="144">
        <v>0</v>
      </c>
      <c r="J11" s="34">
        <f t="shared" si="1"/>
        <v>213.90960947784117</v>
      </c>
      <c r="K11" s="47">
        <f t="shared" si="2"/>
        <v>0</v>
      </c>
      <c r="L11" s="45">
        <f t="shared" si="3"/>
        <v>24.602210641099546</v>
      </c>
      <c r="M11" s="46">
        <f t="shared" si="4"/>
        <v>0</v>
      </c>
    </row>
    <row r="12" spans="1:13" ht="12.75">
      <c r="A12" s="122" t="s">
        <v>13</v>
      </c>
      <c r="B12" s="119" t="s">
        <v>139</v>
      </c>
      <c r="C12" s="126" t="s">
        <v>140</v>
      </c>
      <c r="D12" s="129">
        <v>51970</v>
      </c>
      <c r="E12" s="135">
        <v>47608497</v>
      </c>
      <c r="F12" s="132">
        <v>51669477</v>
      </c>
      <c r="G12" s="139">
        <f t="shared" si="0"/>
        <v>-4060980</v>
      </c>
      <c r="H12" s="143">
        <v>15069300</v>
      </c>
      <c r="I12" s="144">
        <v>0</v>
      </c>
      <c r="J12" s="34">
        <f t="shared" si="1"/>
        <v>289.9615162593804</v>
      </c>
      <c r="K12" s="47">
        <f t="shared" si="2"/>
        <v>0</v>
      </c>
      <c r="L12" s="45">
        <f t="shared" si="3"/>
        <v>31.652543032391883</v>
      </c>
      <c r="M12" s="46">
        <f t="shared" si="4"/>
        <v>0</v>
      </c>
    </row>
    <row r="13" spans="1:13" ht="12.75">
      <c r="A13" s="122" t="s">
        <v>13</v>
      </c>
      <c r="B13" s="119" t="s">
        <v>17</v>
      </c>
      <c r="C13" s="126" t="s">
        <v>141</v>
      </c>
      <c r="D13" s="129">
        <v>63711</v>
      </c>
      <c r="E13" s="135">
        <v>53422905</v>
      </c>
      <c r="F13" s="132">
        <v>56751827</v>
      </c>
      <c r="G13" s="139">
        <f t="shared" si="0"/>
        <v>-3328922</v>
      </c>
      <c r="H13" s="143">
        <v>19675517.59</v>
      </c>
      <c r="I13" s="144">
        <v>0</v>
      </c>
      <c r="J13" s="34">
        <f t="shared" si="1"/>
        <v>308.824497967384</v>
      </c>
      <c r="K13" s="47">
        <f t="shared" si="2"/>
        <v>0</v>
      </c>
      <c r="L13" s="45">
        <f t="shared" si="3"/>
        <v>36.829741082032136</v>
      </c>
      <c r="M13" s="46">
        <f t="shared" si="4"/>
        <v>0</v>
      </c>
    </row>
    <row r="14" spans="1:13" ht="12.75">
      <c r="A14" s="122" t="s">
        <v>13</v>
      </c>
      <c r="B14" s="119" t="s">
        <v>142</v>
      </c>
      <c r="C14" s="126" t="s">
        <v>143</v>
      </c>
      <c r="D14" s="129">
        <v>46234</v>
      </c>
      <c r="E14" s="135">
        <v>26746152</v>
      </c>
      <c r="F14" s="132">
        <v>29586333</v>
      </c>
      <c r="G14" s="139">
        <f t="shared" si="0"/>
        <v>-2840181</v>
      </c>
      <c r="H14" s="143">
        <v>10229126.81</v>
      </c>
      <c r="I14" s="144">
        <v>0</v>
      </c>
      <c r="J14" s="34">
        <f t="shared" si="1"/>
        <v>221.24684885582042</v>
      </c>
      <c r="K14" s="47">
        <f t="shared" si="2"/>
        <v>0</v>
      </c>
      <c r="L14" s="45">
        <f t="shared" si="3"/>
        <v>38.24522798644082</v>
      </c>
      <c r="M14" s="46">
        <f t="shared" si="4"/>
        <v>0</v>
      </c>
    </row>
    <row r="15" spans="1:13" ht="12.75">
      <c r="A15" s="122" t="s">
        <v>13</v>
      </c>
      <c r="B15" s="119" t="s">
        <v>19</v>
      </c>
      <c r="C15" s="126" t="s">
        <v>144</v>
      </c>
      <c r="D15" s="129">
        <v>166036</v>
      </c>
      <c r="E15" s="135">
        <v>121024521</v>
      </c>
      <c r="F15" s="132">
        <v>132120121</v>
      </c>
      <c r="G15" s="139">
        <f t="shared" si="0"/>
        <v>-11095600</v>
      </c>
      <c r="H15" s="143">
        <v>50695006.17</v>
      </c>
      <c r="I15" s="144">
        <v>219.87</v>
      </c>
      <c r="J15" s="34">
        <f t="shared" si="1"/>
        <v>305.32538828928665</v>
      </c>
      <c r="K15" s="47">
        <f t="shared" si="2"/>
        <v>0.001324230889686574</v>
      </c>
      <c r="L15" s="45">
        <f t="shared" si="3"/>
        <v>41.88821054701799</v>
      </c>
      <c r="M15" s="46">
        <f t="shared" si="4"/>
        <v>0.00018167392705483213</v>
      </c>
    </row>
    <row r="16" spans="1:13" ht="12.75">
      <c r="A16" s="122" t="s">
        <v>13</v>
      </c>
      <c r="B16" s="119" t="s">
        <v>145</v>
      </c>
      <c r="C16" s="126" t="s">
        <v>146</v>
      </c>
      <c r="D16" s="129">
        <v>53101</v>
      </c>
      <c r="E16" s="135">
        <v>41654022</v>
      </c>
      <c r="F16" s="132">
        <v>46316680</v>
      </c>
      <c r="G16" s="139">
        <f t="shared" si="0"/>
        <v>-4662658</v>
      </c>
      <c r="H16" s="143">
        <v>11121328.55</v>
      </c>
      <c r="I16" s="144">
        <v>0</v>
      </c>
      <c r="J16" s="34">
        <f t="shared" si="1"/>
        <v>209.43727142615018</v>
      </c>
      <c r="K16" s="47">
        <f t="shared" si="2"/>
        <v>0</v>
      </c>
      <c r="L16" s="45">
        <f t="shared" si="3"/>
        <v>26.69929100724055</v>
      </c>
      <c r="M16" s="46">
        <f t="shared" si="4"/>
        <v>0</v>
      </c>
    </row>
    <row r="17" spans="1:13" ht="12.75">
      <c r="A17" s="122" t="s">
        <v>13</v>
      </c>
      <c r="B17" s="119" t="s">
        <v>21</v>
      </c>
      <c r="C17" s="126" t="s">
        <v>147</v>
      </c>
      <c r="D17" s="129">
        <v>56876</v>
      </c>
      <c r="E17" s="135">
        <v>40073706</v>
      </c>
      <c r="F17" s="132">
        <v>38023706</v>
      </c>
      <c r="G17" s="139">
        <f t="shared" si="0"/>
        <v>2050000</v>
      </c>
      <c r="H17" s="143">
        <v>12125000</v>
      </c>
      <c r="I17" s="144">
        <v>0</v>
      </c>
      <c r="J17" s="34">
        <f t="shared" si="1"/>
        <v>213.1830649131444</v>
      </c>
      <c r="K17" s="47">
        <f t="shared" si="2"/>
        <v>0</v>
      </c>
      <c r="L17" s="45">
        <f t="shared" si="3"/>
        <v>30.25674740439529</v>
      </c>
      <c r="M17" s="46">
        <f t="shared" si="4"/>
        <v>0</v>
      </c>
    </row>
    <row r="18" spans="1:13" ht="12.75">
      <c r="A18" s="122" t="s">
        <v>13</v>
      </c>
      <c r="B18" s="119" t="s">
        <v>148</v>
      </c>
      <c r="C18" s="126" t="s">
        <v>149</v>
      </c>
      <c r="D18" s="129">
        <v>105502</v>
      </c>
      <c r="E18" s="135">
        <v>80547552</v>
      </c>
      <c r="F18" s="132">
        <v>112972712</v>
      </c>
      <c r="G18" s="139">
        <f t="shared" si="0"/>
        <v>-32425160</v>
      </c>
      <c r="H18" s="143">
        <v>2540000</v>
      </c>
      <c r="I18" s="144">
        <v>0</v>
      </c>
      <c r="J18" s="34">
        <f t="shared" si="1"/>
        <v>24.075372978711304</v>
      </c>
      <c r="K18" s="47">
        <f t="shared" si="2"/>
        <v>0</v>
      </c>
      <c r="L18" s="45">
        <f t="shared" si="3"/>
        <v>3.153416754366414</v>
      </c>
      <c r="M18" s="46">
        <f t="shared" si="4"/>
        <v>0</v>
      </c>
    </row>
    <row r="19" spans="1:13" ht="12.75">
      <c r="A19" s="122" t="s">
        <v>13</v>
      </c>
      <c r="B19" s="119" t="s">
        <v>23</v>
      </c>
      <c r="C19" s="126" t="s">
        <v>150</v>
      </c>
      <c r="D19" s="129">
        <v>47909</v>
      </c>
      <c r="E19" s="135">
        <v>46249321</v>
      </c>
      <c r="F19" s="132">
        <v>47509621</v>
      </c>
      <c r="G19" s="139">
        <f t="shared" si="0"/>
        <v>-1260300</v>
      </c>
      <c r="H19" s="143">
        <v>2860000</v>
      </c>
      <c r="I19" s="144">
        <v>0</v>
      </c>
      <c r="J19" s="34">
        <f t="shared" si="1"/>
        <v>59.69650796301321</v>
      </c>
      <c r="K19" s="47">
        <f t="shared" si="2"/>
        <v>0</v>
      </c>
      <c r="L19" s="45">
        <f t="shared" si="3"/>
        <v>6.183874569747737</v>
      </c>
      <c r="M19" s="46">
        <f t="shared" si="4"/>
        <v>0</v>
      </c>
    </row>
    <row r="20" spans="1:13" ht="12.75">
      <c r="A20" s="122" t="s">
        <v>13</v>
      </c>
      <c r="B20" s="119" t="s">
        <v>151</v>
      </c>
      <c r="C20" s="126" t="s">
        <v>152</v>
      </c>
      <c r="D20" s="129">
        <v>36832</v>
      </c>
      <c r="E20" s="135">
        <v>43925548.4</v>
      </c>
      <c r="F20" s="132">
        <v>45423058.39999999</v>
      </c>
      <c r="G20" s="139">
        <f t="shared" si="0"/>
        <v>-1497509.9999999925</v>
      </c>
      <c r="H20" s="143">
        <v>4744600</v>
      </c>
      <c r="I20" s="144">
        <v>0</v>
      </c>
      <c r="J20" s="34">
        <f t="shared" si="1"/>
        <v>128.81733275412685</v>
      </c>
      <c r="K20" s="47">
        <f t="shared" si="2"/>
        <v>0</v>
      </c>
      <c r="L20" s="45">
        <f t="shared" si="3"/>
        <v>10.801458770176675</v>
      </c>
      <c r="M20" s="46">
        <f t="shared" si="4"/>
        <v>0</v>
      </c>
    </row>
    <row r="21" spans="1:13" ht="12.75">
      <c r="A21" s="122" t="s">
        <v>13</v>
      </c>
      <c r="B21" s="119" t="s">
        <v>25</v>
      </c>
      <c r="C21" s="126" t="s">
        <v>153</v>
      </c>
      <c r="D21" s="129">
        <v>103338</v>
      </c>
      <c r="E21" s="135">
        <v>80385995</v>
      </c>
      <c r="F21" s="132">
        <v>87335435</v>
      </c>
      <c r="G21" s="139">
        <f t="shared" si="0"/>
        <v>-6949440</v>
      </c>
      <c r="H21" s="143">
        <v>27000000</v>
      </c>
      <c r="I21" s="144">
        <v>0</v>
      </c>
      <c r="J21" s="34">
        <f t="shared" si="1"/>
        <v>261.27852290541716</v>
      </c>
      <c r="K21" s="47">
        <f t="shared" si="2"/>
        <v>0</v>
      </c>
      <c r="L21" s="45">
        <f t="shared" si="3"/>
        <v>33.58794028735976</v>
      </c>
      <c r="M21" s="46">
        <f t="shared" si="4"/>
        <v>0</v>
      </c>
    </row>
    <row r="22" spans="1:13" ht="12.75">
      <c r="A22" s="122" t="s">
        <v>13</v>
      </c>
      <c r="B22" s="119" t="s">
        <v>154</v>
      </c>
      <c r="C22" s="126" t="s">
        <v>155</v>
      </c>
      <c r="D22" s="129">
        <v>71222</v>
      </c>
      <c r="E22" s="135">
        <v>45748432</v>
      </c>
      <c r="F22" s="132">
        <v>49130951</v>
      </c>
      <c r="G22" s="139">
        <f t="shared" si="0"/>
        <v>-3382519</v>
      </c>
      <c r="H22" s="143">
        <v>0</v>
      </c>
      <c r="I22" s="144">
        <v>0</v>
      </c>
      <c r="J22" s="34">
        <f t="shared" si="1"/>
        <v>0</v>
      </c>
      <c r="K22" s="47">
        <f t="shared" si="2"/>
        <v>0</v>
      </c>
      <c r="L22" s="45">
        <f t="shared" si="3"/>
        <v>0</v>
      </c>
      <c r="M22" s="46">
        <f t="shared" si="4"/>
        <v>0</v>
      </c>
    </row>
    <row r="23" spans="1:13" ht="12.75">
      <c r="A23" s="122" t="s">
        <v>13</v>
      </c>
      <c r="B23" s="119" t="s">
        <v>27</v>
      </c>
      <c r="C23" s="126" t="s">
        <v>156</v>
      </c>
      <c r="D23" s="129">
        <v>61149</v>
      </c>
      <c r="E23" s="135">
        <v>44468648</v>
      </c>
      <c r="F23" s="132">
        <v>48835945</v>
      </c>
      <c r="G23" s="139">
        <f t="shared" si="0"/>
        <v>-4367297</v>
      </c>
      <c r="H23" s="143">
        <v>0</v>
      </c>
      <c r="I23" s="144">
        <v>0</v>
      </c>
      <c r="J23" s="34">
        <f t="shared" si="1"/>
        <v>0</v>
      </c>
      <c r="K23" s="47">
        <f t="shared" si="2"/>
        <v>0</v>
      </c>
      <c r="L23" s="45">
        <f t="shared" si="3"/>
        <v>0</v>
      </c>
      <c r="M23" s="46">
        <f t="shared" si="4"/>
        <v>0</v>
      </c>
    </row>
    <row r="24" spans="1:13" ht="12.75">
      <c r="A24" s="122" t="s">
        <v>13</v>
      </c>
      <c r="B24" s="119" t="s">
        <v>157</v>
      </c>
      <c r="C24" s="126" t="s">
        <v>158</v>
      </c>
      <c r="D24" s="129">
        <v>44134</v>
      </c>
      <c r="E24" s="135">
        <v>36337312</v>
      </c>
      <c r="F24" s="132">
        <v>44051729</v>
      </c>
      <c r="G24" s="139">
        <f t="shared" si="0"/>
        <v>-7714417</v>
      </c>
      <c r="H24" s="143">
        <v>3029401.13</v>
      </c>
      <c r="I24" s="144">
        <v>134750.38</v>
      </c>
      <c r="J24" s="34">
        <f t="shared" si="1"/>
        <v>68.64098268908324</v>
      </c>
      <c r="K24" s="47">
        <f t="shared" si="2"/>
        <v>3.0532102234105225</v>
      </c>
      <c r="L24" s="45">
        <f t="shared" si="3"/>
        <v>8.336888347712677</v>
      </c>
      <c r="M24" s="46">
        <f t="shared" si="4"/>
        <v>0.3708319976997748</v>
      </c>
    </row>
    <row r="25" spans="1:13" ht="12.75">
      <c r="A25" s="122" t="s">
        <v>13</v>
      </c>
      <c r="B25" s="119" t="s">
        <v>29</v>
      </c>
      <c r="C25" s="126" t="s">
        <v>159</v>
      </c>
      <c r="D25" s="129">
        <v>49353</v>
      </c>
      <c r="E25" s="135">
        <v>45994977.199999996</v>
      </c>
      <c r="F25" s="132">
        <v>48650010.84</v>
      </c>
      <c r="G25" s="139">
        <f t="shared" si="0"/>
        <v>-2655033.640000008</v>
      </c>
      <c r="H25" s="143">
        <v>4650000</v>
      </c>
      <c r="I25" s="144">
        <v>0</v>
      </c>
      <c r="J25" s="34">
        <f t="shared" si="1"/>
        <v>94.21919640143456</v>
      </c>
      <c r="K25" s="47">
        <f t="shared" si="2"/>
        <v>0</v>
      </c>
      <c r="L25" s="45">
        <f t="shared" si="3"/>
        <v>10.10979955437395</v>
      </c>
      <c r="M25" s="46">
        <f t="shared" si="4"/>
        <v>0</v>
      </c>
    </row>
    <row r="26" spans="1:13" ht="12.75">
      <c r="A26" s="122" t="s">
        <v>13</v>
      </c>
      <c r="B26" s="119" t="s">
        <v>160</v>
      </c>
      <c r="C26" s="126" t="s">
        <v>161</v>
      </c>
      <c r="D26" s="129">
        <v>160230</v>
      </c>
      <c r="E26" s="135">
        <v>98686152</v>
      </c>
      <c r="F26" s="132">
        <v>119009677</v>
      </c>
      <c r="G26" s="139">
        <f t="shared" si="0"/>
        <v>-20323525</v>
      </c>
      <c r="H26" s="143">
        <v>21924000</v>
      </c>
      <c r="I26" s="144">
        <v>0</v>
      </c>
      <c r="J26" s="34">
        <f t="shared" si="1"/>
        <v>136.82830930537352</v>
      </c>
      <c r="K26" s="47">
        <f t="shared" si="2"/>
        <v>0</v>
      </c>
      <c r="L26" s="45">
        <f t="shared" si="3"/>
        <v>22.215882933605517</v>
      </c>
      <c r="M26" s="46">
        <f t="shared" si="4"/>
        <v>0</v>
      </c>
    </row>
    <row r="27" spans="1:13" ht="12.75">
      <c r="A27" s="122" t="s">
        <v>13</v>
      </c>
      <c r="B27" s="119" t="s">
        <v>31</v>
      </c>
      <c r="C27" s="126" t="s">
        <v>162</v>
      </c>
      <c r="D27" s="129">
        <v>77599</v>
      </c>
      <c r="E27" s="135">
        <v>46838395</v>
      </c>
      <c r="F27" s="132">
        <v>60192810</v>
      </c>
      <c r="G27" s="139">
        <f t="shared" si="0"/>
        <v>-13354415</v>
      </c>
      <c r="H27" s="143">
        <v>0</v>
      </c>
      <c r="I27" s="144">
        <v>0</v>
      </c>
      <c r="J27" s="34">
        <f t="shared" si="1"/>
        <v>0</v>
      </c>
      <c r="K27" s="47">
        <f t="shared" si="2"/>
        <v>0</v>
      </c>
      <c r="L27" s="45">
        <f t="shared" si="3"/>
        <v>0</v>
      </c>
      <c r="M27" s="46">
        <f t="shared" si="4"/>
        <v>0</v>
      </c>
    </row>
    <row r="28" spans="1:13" ht="12.75">
      <c r="A28" s="122" t="s">
        <v>13</v>
      </c>
      <c r="B28" s="119" t="s">
        <v>163</v>
      </c>
      <c r="C28" s="126" t="s">
        <v>164</v>
      </c>
      <c r="D28" s="129">
        <v>183689</v>
      </c>
      <c r="E28" s="135">
        <v>110394764</v>
      </c>
      <c r="F28" s="132">
        <v>122006924</v>
      </c>
      <c r="G28" s="139">
        <f t="shared" si="0"/>
        <v>-11612160</v>
      </c>
      <c r="H28" s="143">
        <v>35430535.42</v>
      </c>
      <c r="I28" s="144">
        <v>5839.42</v>
      </c>
      <c r="J28" s="34">
        <f t="shared" si="1"/>
        <v>192.88327237885775</v>
      </c>
      <c r="K28" s="47">
        <f t="shared" si="2"/>
        <v>0.03178970978120628</v>
      </c>
      <c r="L28" s="45">
        <f t="shared" si="3"/>
        <v>32.09439844447695</v>
      </c>
      <c r="M28" s="46">
        <f t="shared" si="4"/>
        <v>0.005289580581919628</v>
      </c>
    </row>
    <row r="29" spans="1:13" ht="12.75">
      <c r="A29" s="122" t="s">
        <v>13</v>
      </c>
      <c r="B29" s="119" t="s">
        <v>33</v>
      </c>
      <c r="C29" s="126" t="s">
        <v>165</v>
      </c>
      <c r="D29" s="129">
        <v>47446</v>
      </c>
      <c r="E29" s="135">
        <v>35910752</v>
      </c>
      <c r="F29" s="132">
        <v>39310752</v>
      </c>
      <c r="G29" s="139">
        <f t="shared" si="0"/>
        <v>-3400000</v>
      </c>
      <c r="H29" s="143">
        <v>10100000</v>
      </c>
      <c r="I29" s="144">
        <v>0</v>
      </c>
      <c r="J29" s="34">
        <f t="shared" si="1"/>
        <v>212.87358259916536</v>
      </c>
      <c r="K29" s="47">
        <f t="shared" si="2"/>
        <v>0</v>
      </c>
      <c r="L29" s="45">
        <f t="shared" si="3"/>
        <v>28.125281252812528</v>
      </c>
      <c r="M29" s="46">
        <f t="shared" si="4"/>
        <v>0</v>
      </c>
    </row>
    <row r="30" spans="1:13" ht="12.75">
      <c r="A30" s="122" t="s">
        <v>13</v>
      </c>
      <c r="B30" s="119" t="s">
        <v>166</v>
      </c>
      <c r="C30" s="126" t="s">
        <v>167</v>
      </c>
      <c r="D30" s="129">
        <v>103548</v>
      </c>
      <c r="E30" s="135">
        <v>104563393</v>
      </c>
      <c r="F30" s="132">
        <v>118065504</v>
      </c>
      <c r="G30" s="139">
        <f t="shared" si="0"/>
        <v>-13502111</v>
      </c>
      <c r="H30" s="143">
        <v>0</v>
      </c>
      <c r="I30" s="144">
        <v>0</v>
      </c>
      <c r="J30" s="34">
        <f t="shared" si="1"/>
        <v>0</v>
      </c>
      <c r="K30" s="47">
        <f t="shared" si="2"/>
        <v>0</v>
      </c>
      <c r="L30" s="45">
        <f t="shared" si="3"/>
        <v>0</v>
      </c>
      <c r="M30" s="46">
        <f t="shared" si="4"/>
        <v>0</v>
      </c>
    </row>
    <row r="31" spans="1:13" ht="12.75">
      <c r="A31" s="122" t="s">
        <v>13</v>
      </c>
      <c r="B31" s="119" t="s">
        <v>35</v>
      </c>
      <c r="C31" s="126" t="s">
        <v>168</v>
      </c>
      <c r="D31" s="129">
        <v>69104</v>
      </c>
      <c r="E31" s="135">
        <v>59255242</v>
      </c>
      <c r="F31" s="132">
        <v>62295242</v>
      </c>
      <c r="G31" s="139">
        <f t="shared" si="0"/>
        <v>-3040000</v>
      </c>
      <c r="H31" s="143">
        <v>21195000</v>
      </c>
      <c r="I31" s="144">
        <v>0</v>
      </c>
      <c r="J31" s="34">
        <f t="shared" si="1"/>
        <v>306.7116230608937</v>
      </c>
      <c r="K31" s="47">
        <f t="shared" si="2"/>
        <v>0</v>
      </c>
      <c r="L31" s="45">
        <f t="shared" si="3"/>
        <v>35.76898732436195</v>
      </c>
      <c r="M31" s="46">
        <f t="shared" si="4"/>
        <v>0</v>
      </c>
    </row>
    <row r="32" spans="1:13" ht="12.75">
      <c r="A32" s="122" t="s">
        <v>13</v>
      </c>
      <c r="B32" s="119" t="s">
        <v>169</v>
      </c>
      <c r="C32" s="126" t="s">
        <v>170</v>
      </c>
      <c r="D32" s="129">
        <v>94122</v>
      </c>
      <c r="E32" s="135">
        <v>59048911</v>
      </c>
      <c r="F32" s="132">
        <v>61368953</v>
      </c>
      <c r="G32" s="139">
        <f t="shared" si="0"/>
        <v>-2320042</v>
      </c>
      <c r="H32" s="143">
        <v>5793416.24</v>
      </c>
      <c r="I32" s="144">
        <v>92.92</v>
      </c>
      <c r="J32" s="34">
        <f t="shared" si="1"/>
        <v>61.55220076071482</v>
      </c>
      <c r="K32" s="47">
        <f t="shared" si="2"/>
        <v>0.0009872293406429952</v>
      </c>
      <c r="L32" s="45">
        <f t="shared" si="3"/>
        <v>9.811216061207293</v>
      </c>
      <c r="M32" s="46">
        <f t="shared" si="4"/>
        <v>0.0001573610730941338</v>
      </c>
    </row>
    <row r="33" spans="1:13" ht="12.75">
      <c r="A33" s="122" t="s">
        <v>13</v>
      </c>
      <c r="B33" s="119" t="s">
        <v>37</v>
      </c>
      <c r="C33" s="126" t="s">
        <v>171</v>
      </c>
      <c r="D33" s="129">
        <v>45641</v>
      </c>
      <c r="E33" s="135">
        <v>37387391</v>
      </c>
      <c r="F33" s="132">
        <v>33926723</v>
      </c>
      <c r="G33" s="139">
        <f t="shared" si="0"/>
        <v>3460668</v>
      </c>
      <c r="H33" s="143">
        <v>21226132.45</v>
      </c>
      <c r="I33" s="144">
        <v>155256.93</v>
      </c>
      <c r="J33" s="34">
        <f t="shared" si="1"/>
        <v>465.0672082119147</v>
      </c>
      <c r="K33" s="47">
        <f t="shared" si="2"/>
        <v>3.401698691965557</v>
      </c>
      <c r="L33" s="45">
        <f t="shared" si="3"/>
        <v>56.77350540453598</v>
      </c>
      <c r="M33" s="46">
        <f t="shared" si="4"/>
        <v>0.41526548348880504</v>
      </c>
    </row>
    <row r="34" spans="1:13" ht="12.75">
      <c r="A34" s="122" t="s">
        <v>15</v>
      </c>
      <c r="B34" s="119" t="s">
        <v>133</v>
      </c>
      <c r="C34" s="126" t="s">
        <v>172</v>
      </c>
      <c r="D34" s="129">
        <v>55319</v>
      </c>
      <c r="E34" s="135">
        <v>35641829</v>
      </c>
      <c r="F34" s="132">
        <v>36437498</v>
      </c>
      <c r="G34" s="139">
        <f t="shared" si="0"/>
        <v>-795669</v>
      </c>
      <c r="H34" s="143">
        <v>4800152.99</v>
      </c>
      <c r="I34" s="144">
        <v>152.99</v>
      </c>
      <c r="J34" s="34">
        <f t="shared" si="1"/>
        <v>86.77222997523455</v>
      </c>
      <c r="K34" s="47">
        <f t="shared" si="2"/>
        <v>0.002765595907373597</v>
      </c>
      <c r="L34" s="45">
        <f t="shared" si="3"/>
        <v>13.46775158480223</v>
      </c>
      <c r="M34" s="46">
        <f t="shared" si="4"/>
        <v>0.00042924284272841335</v>
      </c>
    </row>
    <row r="35" spans="1:13" ht="12.75">
      <c r="A35" s="122" t="s">
        <v>15</v>
      </c>
      <c r="B35" s="119" t="s">
        <v>13</v>
      </c>
      <c r="C35" s="126" t="s">
        <v>173</v>
      </c>
      <c r="D35" s="129">
        <v>75084</v>
      </c>
      <c r="E35" s="135">
        <v>50124803</v>
      </c>
      <c r="F35" s="132">
        <v>55644648</v>
      </c>
      <c r="G35" s="139">
        <f t="shared" si="0"/>
        <v>-5519845</v>
      </c>
      <c r="H35" s="143">
        <v>3318348.02</v>
      </c>
      <c r="I35" s="144">
        <v>20.54</v>
      </c>
      <c r="J35" s="34">
        <f t="shared" si="1"/>
        <v>44.19514170795376</v>
      </c>
      <c r="K35" s="47">
        <f t="shared" si="2"/>
        <v>0.00027356027915401414</v>
      </c>
      <c r="L35" s="45">
        <f t="shared" si="3"/>
        <v>6.620171694240873</v>
      </c>
      <c r="M35" s="46">
        <f t="shared" si="4"/>
        <v>4.097771715930734E-05</v>
      </c>
    </row>
    <row r="36" spans="1:13" ht="12.75">
      <c r="A36" s="122" t="s">
        <v>15</v>
      </c>
      <c r="B36" s="119" t="s">
        <v>136</v>
      </c>
      <c r="C36" s="126" t="s">
        <v>174</v>
      </c>
      <c r="D36" s="129">
        <v>97031</v>
      </c>
      <c r="E36" s="135">
        <v>40819777</v>
      </c>
      <c r="F36" s="132">
        <v>47111202</v>
      </c>
      <c r="G36" s="139">
        <f t="shared" si="0"/>
        <v>-6291425</v>
      </c>
      <c r="H36" s="143">
        <v>0</v>
      </c>
      <c r="I36" s="144">
        <v>0</v>
      </c>
      <c r="J36" s="34">
        <f t="shared" si="1"/>
        <v>0</v>
      </c>
      <c r="K36" s="47">
        <f t="shared" si="2"/>
        <v>0</v>
      </c>
      <c r="L36" s="45">
        <f t="shared" si="3"/>
        <v>0</v>
      </c>
      <c r="M36" s="46">
        <f t="shared" si="4"/>
        <v>0</v>
      </c>
    </row>
    <row r="37" spans="1:13" ht="12.75">
      <c r="A37" s="122" t="s">
        <v>15</v>
      </c>
      <c r="B37" s="119" t="s">
        <v>15</v>
      </c>
      <c r="C37" s="126" t="s">
        <v>175</v>
      </c>
      <c r="D37" s="129">
        <v>51375</v>
      </c>
      <c r="E37" s="135">
        <v>37056010</v>
      </c>
      <c r="F37" s="132">
        <v>40322938</v>
      </c>
      <c r="G37" s="139">
        <f t="shared" si="0"/>
        <v>-3266928</v>
      </c>
      <c r="H37" s="143">
        <v>1289667.58</v>
      </c>
      <c r="I37" s="144">
        <v>0</v>
      </c>
      <c r="J37" s="34">
        <f t="shared" si="1"/>
        <v>25.10301858880779</v>
      </c>
      <c r="K37" s="47">
        <f t="shared" si="2"/>
        <v>0</v>
      </c>
      <c r="L37" s="45">
        <f t="shared" si="3"/>
        <v>3.4803196026771364</v>
      </c>
      <c r="M37" s="46">
        <f t="shared" si="4"/>
        <v>0</v>
      </c>
    </row>
    <row r="38" spans="1:13" ht="12.75">
      <c r="A38" s="122" t="s">
        <v>15</v>
      </c>
      <c r="B38" s="119" t="s">
        <v>139</v>
      </c>
      <c r="C38" s="126" t="s">
        <v>176</v>
      </c>
      <c r="D38" s="129">
        <v>45074</v>
      </c>
      <c r="E38" s="135">
        <v>29087638</v>
      </c>
      <c r="F38" s="132">
        <v>30423259</v>
      </c>
      <c r="G38" s="139">
        <f t="shared" si="0"/>
        <v>-1335621</v>
      </c>
      <c r="H38" s="143">
        <v>3573394.81</v>
      </c>
      <c r="I38" s="144">
        <v>377</v>
      </c>
      <c r="J38" s="34">
        <f t="shared" si="1"/>
        <v>79.27840462350801</v>
      </c>
      <c r="K38" s="47">
        <f t="shared" si="2"/>
        <v>0.008364023605626304</v>
      </c>
      <c r="L38" s="45">
        <f t="shared" si="3"/>
        <v>12.284926022525445</v>
      </c>
      <c r="M38" s="46">
        <f t="shared" si="4"/>
        <v>0.0012960832364594195</v>
      </c>
    </row>
    <row r="39" spans="1:13" ht="12.75">
      <c r="A39" s="122" t="s">
        <v>15</v>
      </c>
      <c r="B39" s="119" t="s">
        <v>17</v>
      </c>
      <c r="C39" s="126" t="s">
        <v>177</v>
      </c>
      <c r="D39" s="129">
        <v>38427</v>
      </c>
      <c r="E39" s="135">
        <v>17326078</v>
      </c>
      <c r="F39" s="132">
        <v>19334823</v>
      </c>
      <c r="G39" s="139">
        <f t="shared" si="0"/>
        <v>-2008745</v>
      </c>
      <c r="H39" s="143">
        <v>1675000</v>
      </c>
      <c r="I39" s="144">
        <v>0</v>
      </c>
      <c r="J39" s="34">
        <f t="shared" si="1"/>
        <v>43.58914305045931</v>
      </c>
      <c r="K39" s="47">
        <f t="shared" si="2"/>
        <v>0</v>
      </c>
      <c r="L39" s="45">
        <f t="shared" si="3"/>
        <v>9.667508134270204</v>
      </c>
      <c r="M39" s="46">
        <f t="shared" si="4"/>
        <v>0</v>
      </c>
    </row>
    <row r="40" spans="1:13" ht="12.75">
      <c r="A40" s="122" t="s">
        <v>15</v>
      </c>
      <c r="B40" s="119" t="s">
        <v>142</v>
      </c>
      <c r="C40" s="126" t="s">
        <v>178</v>
      </c>
      <c r="D40" s="129">
        <v>164943</v>
      </c>
      <c r="E40" s="135">
        <v>111425957</v>
      </c>
      <c r="F40" s="132">
        <v>122749601</v>
      </c>
      <c r="G40" s="139">
        <f t="shared" si="0"/>
        <v>-11323644</v>
      </c>
      <c r="H40" s="143">
        <v>452070</v>
      </c>
      <c r="I40" s="144">
        <v>0</v>
      </c>
      <c r="J40" s="34">
        <f t="shared" si="1"/>
        <v>2.740764991542533</v>
      </c>
      <c r="K40" s="47">
        <f t="shared" si="2"/>
        <v>0</v>
      </c>
      <c r="L40" s="45">
        <f t="shared" si="3"/>
        <v>0.40571336533371666</v>
      </c>
      <c r="M40" s="46">
        <f t="shared" si="4"/>
        <v>0</v>
      </c>
    </row>
    <row r="41" spans="1:13" ht="12.75">
      <c r="A41" s="122" t="s">
        <v>15</v>
      </c>
      <c r="B41" s="119" t="s">
        <v>19</v>
      </c>
      <c r="C41" s="126" t="s">
        <v>179</v>
      </c>
      <c r="D41" s="129">
        <v>66072</v>
      </c>
      <c r="E41" s="135">
        <v>36092631</v>
      </c>
      <c r="F41" s="132">
        <v>39102416</v>
      </c>
      <c r="G41" s="139">
        <f t="shared" si="0"/>
        <v>-3009785</v>
      </c>
      <c r="H41" s="143">
        <v>1355243.35</v>
      </c>
      <c r="I41" s="144">
        <v>0</v>
      </c>
      <c r="J41" s="34">
        <f t="shared" si="1"/>
        <v>20.511613845501877</v>
      </c>
      <c r="K41" s="47">
        <f t="shared" si="2"/>
        <v>0</v>
      </c>
      <c r="L41" s="45">
        <f t="shared" si="3"/>
        <v>3.7549031823144183</v>
      </c>
      <c r="M41" s="46">
        <f t="shared" si="4"/>
        <v>0</v>
      </c>
    </row>
    <row r="42" spans="1:13" ht="12.75">
      <c r="A42" s="122" t="s">
        <v>15</v>
      </c>
      <c r="B42" s="119" t="s">
        <v>145</v>
      </c>
      <c r="C42" s="126" t="s">
        <v>180</v>
      </c>
      <c r="D42" s="129">
        <v>46848</v>
      </c>
      <c r="E42" s="135">
        <v>38926425</v>
      </c>
      <c r="F42" s="132">
        <v>41851425</v>
      </c>
      <c r="G42" s="139">
        <f t="shared" si="0"/>
        <v>-2925000</v>
      </c>
      <c r="H42" s="143">
        <v>502164</v>
      </c>
      <c r="I42" s="144">
        <v>0</v>
      </c>
      <c r="J42" s="34">
        <f t="shared" si="1"/>
        <v>10.719006147540984</v>
      </c>
      <c r="K42" s="47">
        <f t="shared" si="2"/>
        <v>0</v>
      </c>
      <c r="L42" s="45">
        <f t="shared" si="3"/>
        <v>1.290033698188313</v>
      </c>
      <c r="M42" s="46">
        <f t="shared" si="4"/>
        <v>0</v>
      </c>
    </row>
    <row r="43" spans="1:13" ht="12.75">
      <c r="A43" s="122" t="s">
        <v>15</v>
      </c>
      <c r="B43" s="119" t="s">
        <v>21</v>
      </c>
      <c r="C43" s="126" t="s">
        <v>181</v>
      </c>
      <c r="D43" s="129">
        <v>84900</v>
      </c>
      <c r="E43" s="135">
        <v>56130264</v>
      </c>
      <c r="F43" s="132">
        <v>67130264</v>
      </c>
      <c r="G43" s="139">
        <f t="shared" si="0"/>
        <v>-11000000</v>
      </c>
      <c r="H43" s="143">
        <v>10026511.49</v>
      </c>
      <c r="I43" s="144">
        <v>0</v>
      </c>
      <c r="J43" s="34">
        <f t="shared" si="1"/>
        <v>118.09789740871614</v>
      </c>
      <c r="K43" s="47">
        <f t="shared" si="2"/>
        <v>0</v>
      </c>
      <c r="L43" s="45">
        <f t="shared" si="3"/>
        <v>17.862933069404413</v>
      </c>
      <c r="M43" s="46">
        <f t="shared" si="4"/>
        <v>0</v>
      </c>
    </row>
    <row r="44" spans="1:13" ht="12.75">
      <c r="A44" s="122" t="s">
        <v>15</v>
      </c>
      <c r="B44" s="119" t="s">
        <v>148</v>
      </c>
      <c r="C44" s="126" t="s">
        <v>182</v>
      </c>
      <c r="D44" s="129">
        <v>42169</v>
      </c>
      <c r="E44" s="135">
        <v>31455763</v>
      </c>
      <c r="F44" s="132">
        <v>31455763</v>
      </c>
      <c r="G44" s="139">
        <f t="shared" si="0"/>
        <v>0</v>
      </c>
      <c r="H44" s="143">
        <v>306148.44</v>
      </c>
      <c r="I44" s="144">
        <v>117150.44</v>
      </c>
      <c r="J44" s="34">
        <f t="shared" si="1"/>
        <v>7.260035571154165</v>
      </c>
      <c r="K44" s="47">
        <f t="shared" si="2"/>
        <v>2.778117574521568</v>
      </c>
      <c r="L44" s="45">
        <f t="shared" si="3"/>
        <v>0.9732666157231666</v>
      </c>
      <c r="M44" s="46">
        <f t="shared" si="4"/>
        <v>0.37242917935260383</v>
      </c>
    </row>
    <row r="45" spans="1:13" ht="12.75">
      <c r="A45" s="122" t="s">
        <v>15</v>
      </c>
      <c r="B45" s="119" t="s">
        <v>23</v>
      </c>
      <c r="C45" s="126" t="s">
        <v>183</v>
      </c>
      <c r="D45" s="129">
        <v>44264</v>
      </c>
      <c r="E45" s="135">
        <v>29531629</v>
      </c>
      <c r="F45" s="132">
        <v>32024107</v>
      </c>
      <c r="G45" s="139">
        <f t="shared" si="0"/>
        <v>-2492478</v>
      </c>
      <c r="H45" s="143">
        <v>534349.28</v>
      </c>
      <c r="I45" s="144">
        <v>289.35</v>
      </c>
      <c r="J45" s="34">
        <f t="shared" si="1"/>
        <v>12.071870594614134</v>
      </c>
      <c r="K45" s="47">
        <f t="shared" si="2"/>
        <v>0.006536914874390024</v>
      </c>
      <c r="L45" s="45">
        <f t="shared" si="3"/>
        <v>1.8094134935800528</v>
      </c>
      <c r="M45" s="46">
        <f t="shared" si="4"/>
        <v>0.0009797969492302645</v>
      </c>
    </row>
    <row r="46" spans="1:13" ht="12.75">
      <c r="A46" s="122" t="s">
        <v>15</v>
      </c>
      <c r="B46" s="119" t="s">
        <v>151</v>
      </c>
      <c r="C46" s="126" t="s">
        <v>184</v>
      </c>
      <c r="D46" s="129">
        <v>40982</v>
      </c>
      <c r="E46" s="135">
        <v>34532428</v>
      </c>
      <c r="F46" s="132">
        <v>38087928</v>
      </c>
      <c r="G46" s="139">
        <f t="shared" si="0"/>
        <v>-3555500</v>
      </c>
      <c r="H46" s="143">
        <v>7170000</v>
      </c>
      <c r="I46" s="144">
        <v>0</v>
      </c>
      <c r="J46" s="34">
        <f t="shared" si="1"/>
        <v>174.95485823044262</v>
      </c>
      <c r="K46" s="47">
        <f t="shared" si="2"/>
        <v>0</v>
      </c>
      <c r="L46" s="45">
        <f t="shared" si="3"/>
        <v>20.763092592272976</v>
      </c>
      <c r="M46" s="46">
        <f t="shared" si="4"/>
        <v>0</v>
      </c>
    </row>
    <row r="47" spans="1:13" ht="12.75">
      <c r="A47" s="122" t="s">
        <v>15</v>
      </c>
      <c r="B47" s="119" t="s">
        <v>25</v>
      </c>
      <c r="C47" s="126" t="s">
        <v>185</v>
      </c>
      <c r="D47" s="129">
        <v>97040</v>
      </c>
      <c r="E47" s="135">
        <v>55284432</v>
      </c>
      <c r="F47" s="132">
        <v>57144999</v>
      </c>
      <c r="G47" s="139">
        <f t="shared" si="0"/>
        <v>-1860567</v>
      </c>
      <c r="H47" s="143">
        <v>11375097.92</v>
      </c>
      <c r="I47" s="144">
        <v>0</v>
      </c>
      <c r="J47" s="34">
        <f t="shared" si="1"/>
        <v>117.2207122835944</v>
      </c>
      <c r="K47" s="47">
        <f t="shared" si="2"/>
        <v>0</v>
      </c>
      <c r="L47" s="45">
        <f t="shared" si="3"/>
        <v>20.57558974287734</v>
      </c>
      <c r="M47" s="46">
        <f t="shared" si="4"/>
        <v>0</v>
      </c>
    </row>
    <row r="48" spans="1:13" ht="12.75">
      <c r="A48" s="122" t="s">
        <v>15</v>
      </c>
      <c r="B48" s="119" t="s">
        <v>154</v>
      </c>
      <c r="C48" s="126" t="s">
        <v>186</v>
      </c>
      <c r="D48" s="129">
        <v>90456</v>
      </c>
      <c r="E48" s="135">
        <v>46658639</v>
      </c>
      <c r="F48" s="132">
        <v>47926399</v>
      </c>
      <c r="G48" s="139">
        <f t="shared" si="0"/>
        <v>-1267760</v>
      </c>
      <c r="H48" s="143">
        <v>3860237.01</v>
      </c>
      <c r="I48" s="144">
        <v>0</v>
      </c>
      <c r="J48" s="34">
        <f t="shared" si="1"/>
        <v>42.675300809233214</v>
      </c>
      <c r="K48" s="47">
        <f t="shared" si="2"/>
        <v>0</v>
      </c>
      <c r="L48" s="45">
        <f t="shared" si="3"/>
        <v>8.273359645145243</v>
      </c>
      <c r="M48" s="46">
        <f t="shared" si="4"/>
        <v>0</v>
      </c>
    </row>
    <row r="49" spans="1:13" ht="12.75">
      <c r="A49" s="122" t="s">
        <v>15</v>
      </c>
      <c r="B49" s="119" t="s">
        <v>27</v>
      </c>
      <c r="C49" s="126" t="s">
        <v>187</v>
      </c>
      <c r="D49" s="129">
        <v>47298</v>
      </c>
      <c r="E49" s="135">
        <v>46104163</v>
      </c>
      <c r="F49" s="132">
        <v>52099163</v>
      </c>
      <c r="G49" s="139">
        <f t="shared" si="0"/>
        <v>-5995000</v>
      </c>
      <c r="H49" s="143">
        <v>5800001.94</v>
      </c>
      <c r="I49" s="144">
        <v>0</v>
      </c>
      <c r="J49" s="34">
        <f t="shared" si="1"/>
        <v>122.6267905619688</v>
      </c>
      <c r="K49" s="47">
        <f t="shared" si="2"/>
        <v>0</v>
      </c>
      <c r="L49" s="45">
        <f t="shared" si="3"/>
        <v>12.580213070997514</v>
      </c>
      <c r="M49" s="46">
        <f t="shared" si="4"/>
        <v>0</v>
      </c>
    </row>
    <row r="50" spans="1:13" ht="12.75">
      <c r="A50" s="122" t="s">
        <v>15</v>
      </c>
      <c r="B50" s="119" t="s">
        <v>157</v>
      </c>
      <c r="C50" s="126" t="s">
        <v>188</v>
      </c>
      <c r="D50" s="129">
        <v>34869</v>
      </c>
      <c r="E50" s="135">
        <v>24179484</v>
      </c>
      <c r="F50" s="132">
        <v>26378897</v>
      </c>
      <c r="G50" s="139">
        <f t="shared" si="0"/>
        <v>-2199413</v>
      </c>
      <c r="H50" s="143">
        <v>10328073.74</v>
      </c>
      <c r="I50" s="144">
        <v>0</v>
      </c>
      <c r="J50" s="34">
        <f t="shared" si="1"/>
        <v>296.19644211190456</v>
      </c>
      <c r="K50" s="47">
        <f t="shared" si="2"/>
        <v>0</v>
      </c>
      <c r="L50" s="45">
        <f t="shared" si="3"/>
        <v>42.714202420531386</v>
      </c>
      <c r="M50" s="46">
        <f t="shared" si="4"/>
        <v>0</v>
      </c>
    </row>
    <row r="51" spans="1:13" ht="12.75">
      <c r="A51" s="122" t="s">
        <v>15</v>
      </c>
      <c r="B51" s="119" t="s">
        <v>29</v>
      </c>
      <c r="C51" s="126" t="s">
        <v>189</v>
      </c>
      <c r="D51" s="129">
        <v>85308</v>
      </c>
      <c r="E51" s="135">
        <v>40673824</v>
      </c>
      <c r="F51" s="132">
        <v>42516404</v>
      </c>
      <c r="G51" s="139">
        <f t="shared" si="0"/>
        <v>-1842580</v>
      </c>
      <c r="H51" s="143">
        <v>0</v>
      </c>
      <c r="I51" s="144">
        <v>0</v>
      </c>
      <c r="J51" s="34">
        <f t="shared" si="1"/>
        <v>0</v>
      </c>
      <c r="K51" s="47">
        <f t="shared" si="2"/>
        <v>0</v>
      </c>
      <c r="L51" s="45">
        <f t="shared" si="3"/>
        <v>0</v>
      </c>
      <c r="M51" s="46">
        <f t="shared" si="4"/>
        <v>0</v>
      </c>
    </row>
    <row r="52" spans="1:13" ht="12.75">
      <c r="A52" s="122" t="s">
        <v>15</v>
      </c>
      <c r="B52" s="119" t="s">
        <v>160</v>
      </c>
      <c r="C52" s="126" t="s">
        <v>190</v>
      </c>
      <c r="D52" s="129">
        <v>69754</v>
      </c>
      <c r="E52" s="135">
        <v>48766309</v>
      </c>
      <c r="F52" s="132">
        <v>52441010</v>
      </c>
      <c r="G52" s="139">
        <f t="shared" si="0"/>
        <v>-3674701</v>
      </c>
      <c r="H52" s="143">
        <v>11252683.09</v>
      </c>
      <c r="I52" s="144">
        <v>10187.33</v>
      </c>
      <c r="J52" s="34">
        <f t="shared" si="1"/>
        <v>161.3195385210884</v>
      </c>
      <c r="K52" s="47">
        <f t="shared" si="2"/>
        <v>0.14604653496573672</v>
      </c>
      <c r="L52" s="45">
        <f t="shared" si="3"/>
        <v>23.074707355850943</v>
      </c>
      <c r="M52" s="46">
        <f t="shared" si="4"/>
        <v>0.020890098530934542</v>
      </c>
    </row>
    <row r="53" spans="1:13" ht="12.75">
      <c r="A53" s="122" t="s">
        <v>17</v>
      </c>
      <c r="B53" s="119" t="s">
        <v>133</v>
      </c>
      <c r="C53" s="126" t="s">
        <v>191</v>
      </c>
      <c r="D53" s="129">
        <v>113808</v>
      </c>
      <c r="E53" s="135">
        <v>68162755.6</v>
      </c>
      <c r="F53" s="132">
        <v>69871955.74</v>
      </c>
      <c r="G53" s="139">
        <f t="shared" si="0"/>
        <v>-1709200.1400000006</v>
      </c>
      <c r="H53" s="143">
        <v>6689776.26</v>
      </c>
      <c r="I53" s="144">
        <v>0</v>
      </c>
      <c r="J53" s="34">
        <f t="shared" si="1"/>
        <v>58.78124789118515</v>
      </c>
      <c r="K53" s="47">
        <f t="shared" si="2"/>
        <v>0</v>
      </c>
      <c r="L53" s="45">
        <f t="shared" si="3"/>
        <v>9.814415806863302</v>
      </c>
      <c r="M53" s="46">
        <f t="shared" si="4"/>
        <v>0</v>
      </c>
    </row>
    <row r="54" spans="1:13" ht="12.75">
      <c r="A54" s="122" t="s">
        <v>17</v>
      </c>
      <c r="B54" s="119" t="s">
        <v>13</v>
      </c>
      <c r="C54" s="126" t="s">
        <v>192</v>
      </c>
      <c r="D54" s="129">
        <v>104001</v>
      </c>
      <c r="E54" s="135">
        <v>65944378</v>
      </c>
      <c r="F54" s="132">
        <v>70208007</v>
      </c>
      <c r="G54" s="139">
        <f t="shared" si="0"/>
        <v>-4263629</v>
      </c>
      <c r="H54" s="143">
        <v>2576449</v>
      </c>
      <c r="I54" s="144">
        <v>0</v>
      </c>
      <c r="J54" s="34">
        <f t="shared" si="1"/>
        <v>24.773309872020462</v>
      </c>
      <c r="K54" s="47">
        <f t="shared" si="2"/>
        <v>0</v>
      </c>
      <c r="L54" s="45">
        <f t="shared" si="3"/>
        <v>3.907003262658721</v>
      </c>
      <c r="M54" s="46">
        <f t="shared" si="4"/>
        <v>0</v>
      </c>
    </row>
    <row r="55" spans="1:13" ht="12.75">
      <c r="A55" s="122" t="s">
        <v>17</v>
      </c>
      <c r="B55" s="119" t="s">
        <v>136</v>
      </c>
      <c r="C55" s="126" t="s">
        <v>193</v>
      </c>
      <c r="D55" s="129">
        <v>79829</v>
      </c>
      <c r="E55" s="135">
        <v>48895573</v>
      </c>
      <c r="F55" s="132">
        <v>52762296</v>
      </c>
      <c r="G55" s="139">
        <f t="shared" si="0"/>
        <v>-3866723</v>
      </c>
      <c r="H55" s="143">
        <v>937500</v>
      </c>
      <c r="I55" s="144">
        <v>0</v>
      </c>
      <c r="J55" s="34">
        <f t="shared" si="1"/>
        <v>11.743852484686016</v>
      </c>
      <c r="K55" s="47">
        <f t="shared" si="2"/>
        <v>0</v>
      </c>
      <c r="L55" s="45">
        <f t="shared" si="3"/>
        <v>1.9173514951956898</v>
      </c>
      <c r="M55" s="46">
        <f t="shared" si="4"/>
        <v>0</v>
      </c>
    </row>
    <row r="56" spans="1:13" ht="12.75">
      <c r="A56" s="122" t="s">
        <v>17</v>
      </c>
      <c r="B56" s="119" t="s">
        <v>15</v>
      </c>
      <c r="C56" s="126" t="s">
        <v>194</v>
      </c>
      <c r="D56" s="129">
        <v>68398</v>
      </c>
      <c r="E56" s="135">
        <v>41147267</v>
      </c>
      <c r="F56" s="132">
        <v>42296939</v>
      </c>
      <c r="G56" s="139">
        <f t="shared" si="0"/>
        <v>-1149672</v>
      </c>
      <c r="H56" s="143">
        <v>1392590.79</v>
      </c>
      <c r="I56" s="144">
        <v>0</v>
      </c>
      <c r="J56" s="34">
        <f t="shared" si="1"/>
        <v>20.36010979853212</v>
      </c>
      <c r="K56" s="47">
        <f t="shared" si="2"/>
        <v>0</v>
      </c>
      <c r="L56" s="45">
        <f t="shared" si="3"/>
        <v>3.3844065269268064</v>
      </c>
      <c r="M56" s="46">
        <f t="shared" si="4"/>
        <v>0</v>
      </c>
    </row>
    <row r="57" spans="1:13" ht="12.75">
      <c r="A57" s="122" t="s">
        <v>17</v>
      </c>
      <c r="B57" s="119" t="s">
        <v>139</v>
      </c>
      <c r="C57" s="126" t="s">
        <v>195</v>
      </c>
      <c r="D57" s="129">
        <v>47813</v>
      </c>
      <c r="E57" s="135">
        <v>34080615</v>
      </c>
      <c r="F57" s="132">
        <v>38598610</v>
      </c>
      <c r="G57" s="139">
        <f t="shared" si="0"/>
        <v>-4517995</v>
      </c>
      <c r="H57" s="143">
        <v>3944069.6</v>
      </c>
      <c r="I57" s="144">
        <v>736.26</v>
      </c>
      <c r="J57" s="34">
        <f t="shared" si="1"/>
        <v>82.48948194005814</v>
      </c>
      <c r="K57" s="47">
        <f t="shared" si="2"/>
        <v>0.015398740928199444</v>
      </c>
      <c r="L57" s="45">
        <f t="shared" si="3"/>
        <v>11.572765338888399</v>
      </c>
      <c r="M57" s="46">
        <f t="shared" si="4"/>
        <v>0.0021603483387843793</v>
      </c>
    </row>
    <row r="58" spans="1:13" ht="12.75">
      <c r="A58" s="122" t="s">
        <v>17</v>
      </c>
      <c r="B58" s="119" t="s">
        <v>17</v>
      </c>
      <c r="C58" s="126" t="s">
        <v>196</v>
      </c>
      <c r="D58" s="129">
        <v>68995</v>
      </c>
      <c r="E58" s="135">
        <v>55653890</v>
      </c>
      <c r="F58" s="132">
        <v>55106988</v>
      </c>
      <c r="G58" s="139">
        <f t="shared" si="0"/>
        <v>546902</v>
      </c>
      <c r="H58" s="143">
        <v>15783870.56</v>
      </c>
      <c r="I58" s="144">
        <v>297.56</v>
      </c>
      <c r="J58" s="34">
        <f t="shared" si="1"/>
        <v>228.76832466120734</v>
      </c>
      <c r="K58" s="47">
        <f t="shared" si="2"/>
        <v>0.004312776288136822</v>
      </c>
      <c r="L58" s="45">
        <f t="shared" si="3"/>
        <v>28.360767881634153</v>
      </c>
      <c r="M58" s="46">
        <f t="shared" si="4"/>
        <v>0.0005346616382071405</v>
      </c>
    </row>
    <row r="59" spans="1:13" ht="12.75">
      <c r="A59" s="122" t="s">
        <v>17</v>
      </c>
      <c r="B59" s="119" t="s">
        <v>142</v>
      </c>
      <c r="C59" s="126" t="s">
        <v>197</v>
      </c>
      <c r="D59" s="129">
        <v>99531</v>
      </c>
      <c r="E59" s="135">
        <v>95090689</v>
      </c>
      <c r="F59" s="132">
        <v>106788727</v>
      </c>
      <c r="G59" s="139">
        <f t="shared" si="0"/>
        <v>-11698038</v>
      </c>
      <c r="H59" s="143">
        <v>10455300</v>
      </c>
      <c r="I59" s="144">
        <v>0</v>
      </c>
      <c r="J59" s="34">
        <f t="shared" si="1"/>
        <v>105.04566416493354</v>
      </c>
      <c r="K59" s="47">
        <f t="shared" si="2"/>
        <v>0</v>
      </c>
      <c r="L59" s="45">
        <f t="shared" si="3"/>
        <v>10.995082809842717</v>
      </c>
      <c r="M59" s="46">
        <f t="shared" si="4"/>
        <v>0</v>
      </c>
    </row>
    <row r="60" spans="1:13" ht="12.75">
      <c r="A60" s="122" t="s">
        <v>17</v>
      </c>
      <c r="B60" s="119" t="s">
        <v>19</v>
      </c>
      <c r="C60" s="126" t="s">
        <v>702</v>
      </c>
      <c r="D60" s="129">
        <v>90385</v>
      </c>
      <c r="E60" s="135">
        <v>50081000</v>
      </c>
      <c r="F60" s="132">
        <v>51034917</v>
      </c>
      <c r="G60" s="139">
        <f t="shared" si="0"/>
        <v>-953917</v>
      </c>
      <c r="H60" s="143">
        <v>11357332.98</v>
      </c>
      <c r="I60" s="144">
        <v>14</v>
      </c>
      <c r="J60" s="34">
        <f t="shared" si="1"/>
        <v>125.65506422525863</v>
      </c>
      <c r="K60" s="47">
        <f t="shared" si="2"/>
        <v>0.0001548929579023068</v>
      </c>
      <c r="L60" s="45">
        <f t="shared" si="3"/>
        <v>22.6779277170983</v>
      </c>
      <c r="M60" s="46">
        <f t="shared" si="4"/>
        <v>2.7954713364349753E-05</v>
      </c>
    </row>
    <row r="61" spans="1:13" ht="12.75">
      <c r="A61" s="122" t="s">
        <v>17</v>
      </c>
      <c r="B61" s="119" t="s">
        <v>145</v>
      </c>
      <c r="C61" s="126" t="s">
        <v>198</v>
      </c>
      <c r="D61" s="129">
        <v>141311</v>
      </c>
      <c r="E61" s="135">
        <v>79520076.35</v>
      </c>
      <c r="F61" s="132">
        <v>73473911.43000004</v>
      </c>
      <c r="G61" s="139">
        <f t="shared" si="0"/>
        <v>6046164.919999957</v>
      </c>
      <c r="H61" s="143">
        <v>19735115.22</v>
      </c>
      <c r="I61" s="144">
        <v>0</v>
      </c>
      <c r="J61" s="34">
        <f t="shared" si="1"/>
        <v>139.65731768935186</v>
      </c>
      <c r="K61" s="47">
        <f t="shared" si="2"/>
        <v>0</v>
      </c>
      <c r="L61" s="45">
        <f t="shared" si="3"/>
        <v>24.817777001543334</v>
      </c>
      <c r="M61" s="46">
        <f t="shared" si="4"/>
        <v>0</v>
      </c>
    </row>
    <row r="62" spans="1:13" ht="12.75">
      <c r="A62" s="122" t="s">
        <v>17</v>
      </c>
      <c r="B62" s="119" t="s">
        <v>21</v>
      </c>
      <c r="C62" s="126" t="s">
        <v>199</v>
      </c>
      <c r="D62" s="129">
        <v>57240</v>
      </c>
      <c r="E62" s="135">
        <v>63626895</v>
      </c>
      <c r="F62" s="132">
        <v>71488953</v>
      </c>
      <c r="G62" s="139">
        <f t="shared" si="0"/>
        <v>-7862058</v>
      </c>
      <c r="H62" s="143">
        <v>6629892</v>
      </c>
      <c r="I62" s="144">
        <v>0</v>
      </c>
      <c r="J62" s="34">
        <f t="shared" si="1"/>
        <v>115.82620545073375</v>
      </c>
      <c r="K62" s="47">
        <f t="shared" si="2"/>
        <v>0</v>
      </c>
      <c r="L62" s="45">
        <f t="shared" si="3"/>
        <v>10.41995212873424</v>
      </c>
      <c r="M62" s="46">
        <f t="shared" si="4"/>
        <v>0</v>
      </c>
    </row>
    <row r="63" spans="1:13" ht="12.75">
      <c r="A63" s="122" t="s">
        <v>17</v>
      </c>
      <c r="B63" s="119" t="s">
        <v>148</v>
      </c>
      <c r="C63" s="126" t="s">
        <v>200</v>
      </c>
      <c r="D63" s="129">
        <v>108340</v>
      </c>
      <c r="E63" s="135">
        <v>73742035</v>
      </c>
      <c r="F63" s="132">
        <v>73905721</v>
      </c>
      <c r="G63" s="139">
        <f t="shared" si="0"/>
        <v>-163686</v>
      </c>
      <c r="H63" s="143">
        <v>16346219.79</v>
      </c>
      <c r="I63" s="144">
        <v>0</v>
      </c>
      <c r="J63" s="34">
        <f t="shared" si="1"/>
        <v>150.8788978216725</v>
      </c>
      <c r="K63" s="47">
        <f t="shared" si="2"/>
        <v>0</v>
      </c>
      <c r="L63" s="45">
        <f t="shared" si="3"/>
        <v>22.16675982701047</v>
      </c>
      <c r="M63" s="46">
        <f t="shared" si="4"/>
        <v>0</v>
      </c>
    </row>
    <row r="64" spans="1:13" ht="12.75">
      <c r="A64" s="122" t="s">
        <v>17</v>
      </c>
      <c r="B64" s="119" t="s">
        <v>23</v>
      </c>
      <c r="C64" s="126" t="s">
        <v>201</v>
      </c>
      <c r="D64" s="129">
        <v>62956</v>
      </c>
      <c r="E64" s="135">
        <v>42108477</v>
      </c>
      <c r="F64" s="132">
        <v>43308477</v>
      </c>
      <c r="G64" s="139">
        <f t="shared" si="0"/>
        <v>-1200000</v>
      </c>
      <c r="H64" s="143">
        <v>4874800</v>
      </c>
      <c r="I64" s="144">
        <v>0</v>
      </c>
      <c r="J64" s="34">
        <f t="shared" si="1"/>
        <v>77.43185717008704</v>
      </c>
      <c r="K64" s="47">
        <f t="shared" si="2"/>
        <v>0</v>
      </c>
      <c r="L64" s="45">
        <f t="shared" si="3"/>
        <v>11.576766359894707</v>
      </c>
      <c r="M64" s="46">
        <f t="shared" si="4"/>
        <v>0</v>
      </c>
    </row>
    <row r="65" spans="1:13" ht="12.75">
      <c r="A65" s="122" t="s">
        <v>17</v>
      </c>
      <c r="B65" s="119" t="s">
        <v>151</v>
      </c>
      <c r="C65" s="126" t="s">
        <v>202</v>
      </c>
      <c r="D65" s="129">
        <v>36466</v>
      </c>
      <c r="E65" s="135">
        <v>22421737</v>
      </c>
      <c r="F65" s="132">
        <v>25036918</v>
      </c>
      <c r="G65" s="139">
        <f t="shared" si="0"/>
        <v>-2615181</v>
      </c>
      <c r="H65" s="143">
        <v>8886300.14</v>
      </c>
      <c r="I65" s="144">
        <v>0</v>
      </c>
      <c r="J65" s="34">
        <f t="shared" si="1"/>
        <v>243.68727417320244</v>
      </c>
      <c r="K65" s="47">
        <f t="shared" si="2"/>
        <v>0</v>
      </c>
      <c r="L65" s="45">
        <f t="shared" si="3"/>
        <v>39.63252329647788</v>
      </c>
      <c r="M65" s="46">
        <f t="shared" si="4"/>
        <v>0</v>
      </c>
    </row>
    <row r="66" spans="1:13" ht="12.75">
      <c r="A66" s="122" t="s">
        <v>17</v>
      </c>
      <c r="B66" s="119" t="s">
        <v>25</v>
      </c>
      <c r="C66" s="126" t="s">
        <v>203</v>
      </c>
      <c r="D66" s="129">
        <v>116663</v>
      </c>
      <c r="E66" s="135">
        <v>79817472</v>
      </c>
      <c r="F66" s="132">
        <v>91681948</v>
      </c>
      <c r="G66" s="139">
        <f t="shared" si="0"/>
        <v>-11864476</v>
      </c>
      <c r="H66" s="143">
        <v>3363354.29</v>
      </c>
      <c r="I66" s="144">
        <v>0</v>
      </c>
      <c r="J66" s="34">
        <f t="shared" si="1"/>
        <v>28.829657132081294</v>
      </c>
      <c r="K66" s="47">
        <f t="shared" si="2"/>
        <v>0</v>
      </c>
      <c r="L66" s="45">
        <f t="shared" si="3"/>
        <v>4.213807084744553</v>
      </c>
      <c r="M66" s="46">
        <f t="shared" si="4"/>
        <v>0</v>
      </c>
    </row>
    <row r="67" spans="1:13" ht="12.75">
      <c r="A67" s="122" t="s">
        <v>17</v>
      </c>
      <c r="B67" s="119" t="s">
        <v>154</v>
      </c>
      <c r="C67" s="126" t="s">
        <v>204</v>
      </c>
      <c r="D67" s="129">
        <v>61267</v>
      </c>
      <c r="E67" s="135">
        <v>35555394</v>
      </c>
      <c r="F67" s="132">
        <v>30799895</v>
      </c>
      <c r="G67" s="139">
        <f t="shared" si="0"/>
        <v>4755499</v>
      </c>
      <c r="H67" s="143">
        <v>10961135.7</v>
      </c>
      <c r="I67" s="144">
        <v>0</v>
      </c>
      <c r="J67" s="34">
        <f t="shared" si="1"/>
        <v>178.90766154699918</v>
      </c>
      <c r="K67" s="47">
        <f t="shared" si="2"/>
        <v>0</v>
      </c>
      <c r="L67" s="45">
        <f t="shared" si="3"/>
        <v>30.828334232493663</v>
      </c>
      <c r="M67" s="46">
        <f t="shared" si="4"/>
        <v>0</v>
      </c>
    </row>
    <row r="68" spans="1:13" ht="12.75">
      <c r="A68" s="122" t="s">
        <v>17</v>
      </c>
      <c r="B68" s="119" t="s">
        <v>27</v>
      </c>
      <c r="C68" s="126" t="s">
        <v>205</v>
      </c>
      <c r="D68" s="129">
        <v>59151</v>
      </c>
      <c r="E68" s="135">
        <v>39682324</v>
      </c>
      <c r="F68" s="132">
        <v>43391859</v>
      </c>
      <c r="G68" s="139">
        <f t="shared" si="0"/>
        <v>-3709535</v>
      </c>
      <c r="H68" s="143">
        <v>4836040.11</v>
      </c>
      <c r="I68" s="144">
        <v>0</v>
      </c>
      <c r="J68" s="34">
        <f t="shared" si="1"/>
        <v>81.7575376578587</v>
      </c>
      <c r="K68" s="47">
        <f t="shared" si="2"/>
        <v>0</v>
      </c>
      <c r="L68" s="45">
        <f t="shared" si="3"/>
        <v>12.186887315369937</v>
      </c>
      <c r="M68" s="46">
        <f t="shared" si="4"/>
        <v>0</v>
      </c>
    </row>
    <row r="69" spans="1:13" ht="12.75">
      <c r="A69" s="122" t="s">
        <v>17</v>
      </c>
      <c r="B69" s="119" t="s">
        <v>157</v>
      </c>
      <c r="C69" s="126" t="s">
        <v>161</v>
      </c>
      <c r="D69" s="129">
        <v>72354</v>
      </c>
      <c r="E69" s="135">
        <v>41283134</v>
      </c>
      <c r="F69" s="132">
        <v>42645990</v>
      </c>
      <c r="G69" s="139">
        <f t="shared" si="0"/>
        <v>-1362856</v>
      </c>
      <c r="H69" s="143">
        <v>700000</v>
      </c>
      <c r="I69" s="144">
        <v>0</v>
      </c>
      <c r="J69" s="34">
        <f t="shared" si="1"/>
        <v>9.674655167647954</v>
      </c>
      <c r="K69" s="47">
        <f t="shared" si="2"/>
        <v>0</v>
      </c>
      <c r="L69" s="45">
        <f t="shared" si="3"/>
        <v>1.6956077026516445</v>
      </c>
      <c r="M69" s="46">
        <f t="shared" si="4"/>
        <v>0</v>
      </c>
    </row>
    <row r="70" spans="1:13" ht="12.75">
      <c r="A70" s="122" t="s">
        <v>17</v>
      </c>
      <c r="B70" s="119" t="s">
        <v>29</v>
      </c>
      <c r="C70" s="126" t="s">
        <v>206</v>
      </c>
      <c r="D70" s="129">
        <v>88199</v>
      </c>
      <c r="E70" s="135">
        <v>53349245.61000001</v>
      </c>
      <c r="F70" s="132">
        <v>59374382.610000014</v>
      </c>
      <c r="G70" s="139">
        <f t="shared" si="0"/>
        <v>-6025137.000000007</v>
      </c>
      <c r="H70" s="143">
        <v>1132901.79</v>
      </c>
      <c r="I70" s="144">
        <v>130029.86</v>
      </c>
      <c r="J70" s="34">
        <f t="shared" si="1"/>
        <v>12.844837129672673</v>
      </c>
      <c r="K70" s="47">
        <f t="shared" si="2"/>
        <v>1.4742781664191205</v>
      </c>
      <c r="L70" s="45">
        <f t="shared" si="3"/>
        <v>2.123557281918986</v>
      </c>
      <c r="M70" s="46">
        <f t="shared" si="4"/>
        <v>0.24373326841500204</v>
      </c>
    </row>
    <row r="71" spans="1:13" ht="12.75">
      <c r="A71" s="122" t="s">
        <v>17</v>
      </c>
      <c r="B71" s="119" t="s">
        <v>160</v>
      </c>
      <c r="C71" s="126" t="s">
        <v>207</v>
      </c>
      <c r="D71" s="129">
        <v>40071</v>
      </c>
      <c r="E71" s="135">
        <v>34295090</v>
      </c>
      <c r="F71" s="132">
        <v>36150946</v>
      </c>
      <c r="G71" s="139">
        <f t="shared" si="0"/>
        <v>-1855856</v>
      </c>
      <c r="H71" s="143">
        <v>7475631.86</v>
      </c>
      <c r="I71" s="144">
        <v>0</v>
      </c>
      <c r="J71" s="34">
        <f t="shared" si="1"/>
        <v>186.5596531157196</v>
      </c>
      <c r="K71" s="47">
        <f t="shared" si="2"/>
        <v>0</v>
      </c>
      <c r="L71" s="45">
        <f t="shared" si="3"/>
        <v>21.797965423038693</v>
      </c>
      <c r="M71" s="46">
        <f t="shared" si="4"/>
        <v>0</v>
      </c>
    </row>
    <row r="72" spans="1:13" ht="12.75">
      <c r="A72" s="122" t="s">
        <v>17</v>
      </c>
      <c r="B72" s="119" t="s">
        <v>31</v>
      </c>
      <c r="C72" s="126" t="s">
        <v>208</v>
      </c>
      <c r="D72" s="129">
        <v>110036</v>
      </c>
      <c r="E72" s="135">
        <v>38063847</v>
      </c>
      <c r="F72" s="132">
        <v>38969150</v>
      </c>
      <c r="G72" s="139">
        <f aca="true" t="shared" si="5" ref="G72:G135">E72-F72</f>
        <v>-905303</v>
      </c>
      <c r="H72" s="143">
        <v>1975264.14</v>
      </c>
      <c r="I72" s="144">
        <v>0</v>
      </c>
      <c r="J72" s="34">
        <f aca="true" t="shared" si="6" ref="J72:J135">H72/D72</f>
        <v>17.951071831037115</v>
      </c>
      <c r="K72" s="47">
        <f aca="true" t="shared" si="7" ref="K72:K135">I72/D72</f>
        <v>0</v>
      </c>
      <c r="L72" s="45">
        <f aca="true" t="shared" si="8" ref="L72:L135">H72/E72*100</f>
        <v>5.189344471671505</v>
      </c>
      <c r="M72" s="46">
        <f aca="true" t="shared" si="9" ref="M72:M135">I72/E72*100</f>
        <v>0</v>
      </c>
    </row>
    <row r="73" spans="1:13" ht="12.75">
      <c r="A73" s="122" t="s">
        <v>19</v>
      </c>
      <c r="B73" s="119" t="s">
        <v>133</v>
      </c>
      <c r="C73" s="126" t="s">
        <v>209</v>
      </c>
      <c r="D73" s="129">
        <v>65723</v>
      </c>
      <c r="E73" s="135">
        <v>46239348</v>
      </c>
      <c r="F73" s="132">
        <v>49640348</v>
      </c>
      <c r="G73" s="139">
        <f t="shared" si="5"/>
        <v>-3401000</v>
      </c>
      <c r="H73" s="143">
        <v>17950000</v>
      </c>
      <c r="I73" s="144">
        <v>0</v>
      </c>
      <c r="J73" s="34">
        <f t="shared" si="6"/>
        <v>273.11595636230845</v>
      </c>
      <c r="K73" s="47">
        <f t="shared" si="7"/>
        <v>0</v>
      </c>
      <c r="L73" s="45">
        <f t="shared" si="8"/>
        <v>38.819751524178066</v>
      </c>
      <c r="M73" s="46">
        <f t="shared" si="9"/>
        <v>0</v>
      </c>
    </row>
    <row r="74" spans="1:13" ht="12.75">
      <c r="A74" s="122" t="s">
        <v>19</v>
      </c>
      <c r="B74" s="119" t="s">
        <v>13</v>
      </c>
      <c r="C74" s="126" t="s">
        <v>210</v>
      </c>
      <c r="D74" s="129">
        <v>56325</v>
      </c>
      <c r="E74" s="135">
        <v>45882691</v>
      </c>
      <c r="F74" s="132">
        <v>45922854</v>
      </c>
      <c r="G74" s="139">
        <f t="shared" si="5"/>
        <v>-40163</v>
      </c>
      <c r="H74" s="143">
        <v>11495626.73</v>
      </c>
      <c r="I74" s="144">
        <v>61</v>
      </c>
      <c r="J74" s="34">
        <f t="shared" si="6"/>
        <v>204.0945713271194</v>
      </c>
      <c r="K74" s="47">
        <f t="shared" si="7"/>
        <v>0.0010830004438526408</v>
      </c>
      <c r="L74" s="45">
        <f t="shared" si="8"/>
        <v>25.054386478770397</v>
      </c>
      <c r="M74" s="46">
        <f t="shared" si="9"/>
        <v>0.00013294773839659928</v>
      </c>
    </row>
    <row r="75" spans="1:13" ht="12.75">
      <c r="A75" s="122" t="s">
        <v>19</v>
      </c>
      <c r="B75" s="119" t="s">
        <v>136</v>
      </c>
      <c r="C75" s="126" t="s">
        <v>211</v>
      </c>
      <c r="D75" s="129">
        <v>58275</v>
      </c>
      <c r="E75" s="135">
        <v>61903048</v>
      </c>
      <c r="F75" s="132">
        <v>65421762</v>
      </c>
      <c r="G75" s="139">
        <f t="shared" si="5"/>
        <v>-3518714</v>
      </c>
      <c r="H75" s="143">
        <v>1571469.68</v>
      </c>
      <c r="I75" s="144">
        <v>0</v>
      </c>
      <c r="J75" s="34">
        <f t="shared" si="6"/>
        <v>26.966446675246676</v>
      </c>
      <c r="K75" s="47">
        <f t="shared" si="7"/>
        <v>0</v>
      </c>
      <c r="L75" s="45">
        <f t="shared" si="8"/>
        <v>2.538598228636496</v>
      </c>
      <c r="M75" s="46">
        <f t="shared" si="9"/>
        <v>0</v>
      </c>
    </row>
    <row r="76" spans="1:13" ht="12.75">
      <c r="A76" s="122" t="s">
        <v>19</v>
      </c>
      <c r="B76" s="119" t="s">
        <v>15</v>
      </c>
      <c r="C76" s="126" t="s">
        <v>212</v>
      </c>
      <c r="D76" s="129">
        <v>86768</v>
      </c>
      <c r="E76" s="135">
        <v>60022128</v>
      </c>
      <c r="F76" s="132">
        <v>62951033</v>
      </c>
      <c r="G76" s="139">
        <f t="shared" si="5"/>
        <v>-2928905</v>
      </c>
      <c r="H76" s="143">
        <v>6447683.43</v>
      </c>
      <c r="I76" s="144">
        <v>0</v>
      </c>
      <c r="J76" s="34">
        <f t="shared" si="6"/>
        <v>74.30946235939517</v>
      </c>
      <c r="K76" s="47">
        <f t="shared" si="7"/>
        <v>0</v>
      </c>
      <c r="L76" s="45">
        <f t="shared" si="8"/>
        <v>10.742177334998852</v>
      </c>
      <c r="M76" s="46">
        <f t="shared" si="9"/>
        <v>0</v>
      </c>
    </row>
    <row r="77" spans="1:13" ht="12.75">
      <c r="A77" s="122" t="s">
        <v>19</v>
      </c>
      <c r="B77" s="119" t="s">
        <v>139</v>
      </c>
      <c r="C77" s="126" t="s">
        <v>213</v>
      </c>
      <c r="D77" s="129">
        <v>46641</v>
      </c>
      <c r="E77" s="135">
        <v>31895902</v>
      </c>
      <c r="F77" s="132">
        <v>34271825</v>
      </c>
      <c r="G77" s="139">
        <f t="shared" si="5"/>
        <v>-2375923</v>
      </c>
      <c r="H77" s="143">
        <v>6828066.18</v>
      </c>
      <c r="I77" s="144">
        <v>59.09</v>
      </c>
      <c r="J77" s="34">
        <f t="shared" si="6"/>
        <v>146.39622177912136</v>
      </c>
      <c r="K77" s="47">
        <f t="shared" si="7"/>
        <v>0.0012669110868120325</v>
      </c>
      <c r="L77" s="45">
        <f t="shared" si="8"/>
        <v>21.407346247803243</v>
      </c>
      <c r="M77" s="46">
        <f t="shared" si="9"/>
        <v>0.00018525890880903762</v>
      </c>
    </row>
    <row r="78" spans="1:13" ht="12.75">
      <c r="A78" s="122" t="s">
        <v>19</v>
      </c>
      <c r="B78" s="119" t="s">
        <v>17</v>
      </c>
      <c r="C78" s="126" t="s">
        <v>214</v>
      </c>
      <c r="D78" s="129">
        <v>50132</v>
      </c>
      <c r="E78" s="135">
        <v>33022544</v>
      </c>
      <c r="F78" s="132">
        <v>35179064</v>
      </c>
      <c r="G78" s="139">
        <f t="shared" si="5"/>
        <v>-2156520</v>
      </c>
      <c r="H78" s="143">
        <v>2474674.25</v>
      </c>
      <c r="I78" s="144">
        <v>0</v>
      </c>
      <c r="J78" s="34">
        <f t="shared" si="6"/>
        <v>49.36316624112344</v>
      </c>
      <c r="K78" s="47">
        <f t="shared" si="7"/>
        <v>0</v>
      </c>
      <c r="L78" s="45">
        <f t="shared" si="8"/>
        <v>7.49389341414762</v>
      </c>
      <c r="M78" s="46">
        <f t="shared" si="9"/>
        <v>0</v>
      </c>
    </row>
    <row r="79" spans="1:13" ht="12.75">
      <c r="A79" s="122" t="s">
        <v>19</v>
      </c>
      <c r="B79" s="119" t="s">
        <v>142</v>
      </c>
      <c r="C79" s="126" t="s">
        <v>215</v>
      </c>
      <c r="D79" s="129">
        <v>35347</v>
      </c>
      <c r="E79" s="135">
        <v>35181079.58</v>
      </c>
      <c r="F79" s="132">
        <v>38390524.580000006</v>
      </c>
      <c r="G79" s="139">
        <f t="shared" si="5"/>
        <v>-3209445.0000000075</v>
      </c>
      <c r="H79" s="143">
        <v>8200000</v>
      </c>
      <c r="I79" s="144">
        <v>0</v>
      </c>
      <c r="J79" s="34">
        <f t="shared" si="6"/>
        <v>231.98574136418932</v>
      </c>
      <c r="K79" s="47">
        <f t="shared" si="7"/>
        <v>0</v>
      </c>
      <c r="L79" s="45">
        <f t="shared" si="8"/>
        <v>23.30798286435075</v>
      </c>
      <c r="M79" s="46">
        <f t="shared" si="9"/>
        <v>0</v>
      </c>
    </row>
    <row r="80" spans="1:13" ht="12.75">
      <c r="A80" s="122" t="s">
        <v>19</v>
      </c>
      <c r="B80" s="119" t="s">
        <v>19</v>
      </c>
      <c r="C80" s="126" t="s">
        <v>216</v>
      </c>
      <c r="D80" s="129">
        <v>56111</v>
      </c>
      <c r="E80" s="135">
        <v>48396060</v>
      </c>
      <c r="F80" s="132">
        <v>52093531</v>
      </c>
      <c r="G80" s="139">
        <f t="shared" si="5"/>
        <v>-3697471</v>
      </c>
      <c r="H80" s="143">
        <v>13186873.26</v>
      </c>
      <c r="I80" s="144">
        <v>13956</v>
      </c>
      <c r="J80" s="34">
        <f t="shared" si="6"/>
        <v>235.01404822583805</v>
      </c>
      <c r="K80" s="47">
        <f t="shared" si="7"/>
        <v>0.24872128459660317</v>
      </c>
      <c r="L80" s="45">
        <f t="shared" si="8"/>
        <v>27.247824017079076</v>
      </c>
      <c r="M80" s="46">
        <f t="shared" si="9"/>
        <v>0.028837058223334707</v>
      </c>
    </row>
    <row r="81" spans="1:13" ht="12.75">
      <c r="A81" s="122" t="s">
        <v>19</v>
      </c>
      <c r="B81" s="119" t="s">
        <v>145</v>
      </c>
      <c r="C81" s="126" t="s">
        <v>217</v>
      </c>
      <c r="D81" s="129">
        <v>89779</v>
      </c>
      <c r="E81" s="135">
        <v>56363413</v>
      </c>
      <c r="F81" s="132">
        <v>57456191</v>
      </c>
      <c r="G81" s="139">
        <f t="shared" si="5"/>
        <v>-1092778</v>
      </c>
      <c r="H81" s="143">
        <v>10156059.18</v>
      </c>
      <c r="I81" s="144">
        <v>145.18</v>
      </c>
      <c r="J81" s="34">
        <f t="shared" si="6"/>
        <v>113.12288152017732</v>
      </c>
      <c r="K81" s="47">
        <f t="shared" si="7"/>
        <v>0.0016170819456665813</v>
      </c>
      <c r="L81" s="45">
        <f t="shared" si="8"/>
        <v>18.018886081295324</v>
      </c>
      <c r="M81" s="46">
        <f t="shared" si="9"/>
        <v>0.00025757844011326994</v>
      </c>
    </row>
    <row r="82" spans="1:13" ht="12.75">
      <c r="A82" s="122" t="s">
        <v>19</v>
      </c>
      <c r="B82" s="119" t="s">
        <v>21</v>
      </c>
      <c r="C82" s="126" t="s">
        <v>218</v>
      </c>
      <c r="D82" s="129">
        <v>82050</v>
      </c>
      <c r="E82" s="135">
        <v>54729570</v>
      </c>
      <c r="F82" s="132">
        <v>55493752</v>
      </c>
      <c r="G82" s="139">
        <f t="shared" si="5"/>
        <v>-764182</v>
      </c>
      <c r="H82" s="143">
        <v>21401423.87</v>
      </c>
      <c r="I82" s="144">
        <v>1406.1</v>
      </c>
      <c r="J82" s="34">
        <f t="shared" si="6"/>
        <v>260.8339289457648</v>
      </c>
      <c r="K82" s="47">
        <f t="shared" si="7"/>
        <v>0.017137111517367458</v>
      </c>
      <c r="L82" s="45">
        <f t="shared" si="8"/>
        <v>39.103950332516774</v>
      </c>
      <c r="M82" s="46">
        <f t="shared" si="9"/>
        <v>0.0025691778685635568</v>
      </c>
    </row>
    <row r="83" spans="1:13" ht="12.75">
      <c r="A83" s="122" t="s">
        <v>19</v>
      </c>
      <c r="B83" s="119" t="s">
        <v>148</v>
      </c>
      <c r="C83" s="126" t="s">
        <v>219</v>
      </c>
      <c r="D83" s="129">
        <v>98884</v>
      </c>
      <c r="E83" s="135">
        <v>70700600</v>
      </c>
      <c r="F83" s="132">
        <v>77189872</v>
      </c>
      <c r="G83" s="139">
        <f t="shared" si="5"/>
        <v>-6489272</v>
      </c>
      <c r="H83" s="143">
        <v>11216743.2</v>
      </c>
      <c r="I83" s="144">
        <v>0</v>
      </c>
      <c r="J83" s="34">
        <f t="shared" si="6"/>
        <v>113.43334816552728</v>
      </c>
      <c r="K83" s="47">
        <f t="shared" si="7"/>
        <v>0</v>
      </c>
      <c r="L83" s="45">
        <f t="shared" si="8"/>
        <v>15.865131554753424</v>
      </c>
      <c r="M83" s="46">
        <f t="shared" si="9"/>
        <v>0</v>
      </c>
    </row>
    <row r="84" spans="1:13" ht="12.75">
      <c r="A84" s="122" t="s">
        <v>19</v>
      </c>
      <c r="B84" s="119" t="s">
        <v>23</v>
      </c>
      <c r="C84" s="126" t="s">
        <v>220</v>
      </c>
      <c r="D84" s="129">
        <v>38866</v>
      </c>
      <c r="E84" s="135">
        <v>29299366</v>
      </c>
      <c r="F84" s="132">
        <v>29630766</v>
      </c>
      <c r="G84" s="139">
        <f t="shared" si="5"/>
        <v>-331400</v>
      </c>
      <c r="H84" s="143">
        <v>9177000</v>
      </c>
      <c r="I84" s="144">
        <v>0</v>
      </c>
      <c r="J84" s="34">
        <f t="shared" si="6"/>
        <v>236.1189728811815</v>
      </c>
      <c r="K84" s="47">
        <f t="shared" si="7"/>
        <v>0</v>
      </c>
      <c r="L84" s="45">
        <f t="shared" si="8"/>
        <v>31.321496854232272</v>
      </c>
      <c r="M84" s="46">
        <f t="shared" si="9"/>
        <v>0</v>
      </c>
    </row>
    <row r="85" spans="1:13" ht="12.75">
      <c r="A85" s="122" t="s">
        <v>21</v>
      </c>
      <c r="B85" s="119" t="s">
        <v>133</v>
      </c>
      <c r="C85" s="126" t="s">
        <v>221</v>
      </c>
      <c r="D85" s="129">
        <v>112633</v>
      </c>
      <c r="E85" s="135">
        <v>74380681</v>
      </c>
      <c r="F85" s="132">
        <v>79388488</v>
      </c>
      <c r="G85" s="139">
        <f t="shared" si="5"/>
        <v>-5007807</v>
      </c>
      <c r="H85" s="143">
        <v>10688222.3</v>
      </c>
      <c r="I85" s="144">
        <v>0</v>
      </c>
      <c r="J85" s="34">
        <f t="shared" si="6"/>
        <v>94.89423437180933</v>
      </c>
      <c r="K85" s="47">
        <f t="shared" si="7"/>
        <v>0</v>
      </c>
      <c r="L85" s="45">
        <f t="shared" si="8"/>
        <v>14.369621461250134</v>
      </c>
      <c r="M85" s="46">
        <f t="shared" si="9"/>
        <v>0</v>
      </c>
    </row>
    <row r="86" spans="1:13" ht="12.75">
      <c r="A86" s="122" t="s">
        <v>21</v>
      </c>
      <c r="B86" s="119" t="s">
        <v>13</v>
      </c>
      <c r="C86" s="126" t="s">
        <v>222</v>
      </c>
      <c r="D86" s="129">
        <v>103875</v>
      </c>
      <c r="E86" s="135">
        <v>77635126</v>
      </c>
      <c r="F86" s="132">
        <v>84770775</v>
      </c>
      <c r="G86" s="139">
        <f t="shared" si="5"/>
        <v>-7135649</v>
      </c>
      <c r="H86" s="143">
        <v>557105.83</v>
      </c>
      <c r="I86" s="144">
        <v>0</v>
      </c>
      <c r="J86" s="34">
        <f t="shared" si="6"/>
        <v>5.36323302045728</v>
      </c>
      <c r="K86" s="47">
        <f t="shared" si="7"/>
        <v>0</v>
      </c>
      <c r="L86" s="45">
        <f t="shared" si="8"/>
        <v>0.7175950612870776</v>
      </c>
      <c r="M86" s="46">
        <f t="shared" si="9"/>
        <v>0</v>
      </c>
    </row>
    <row r="87" spans="1:13" ht="12.75">
      <c r="A87" s="122" t="s">
        <v>21</v>
      </c>
      <c r="B87" s="119" t="s">
        <v>136</v>
      </c>
      <c r="C87" s="126" t="s">
        <v>223</v>
      </c>
      <c r="D87" s="129">
        <v>50792</v>
      </c>
      <c r="E87" s="135">
        <v>32071682</v>
      </c>
      <c r="F87" s="132">
        <v>39040587</v>
      </c>
      <c r="G87" s="139">
        <f t="shared" si="5"/>
        <v>-6968905</v>
      </c>
      <c r="H87" s="143">
        <v>2919554.85</v>
      </c>
      <c r="I87" s="144">
        <v>0</v>
      </c>
      <c r="J87" s="34">
        <f t="shared" si="6"/>
        <v>57.48060422901244</v>
      </c>
      <c r="K87" s="47">
        <f t="shared" si="7"/>
        <v>0</v>
      </c>
      <c r="L87" s="45">
        <f t="shared" si="8"/>
        <v>9.103217130925657</v>
      </c>
      <c r="M87" s="46">
        <f t="shared" si="9"/>
        <v>0</v>
      </c>
    </row>
    <row r="88" spans="1:13" ht="12.75">
      <c r="A88" s="122" t="s">
        <v>21</v>
      </c>
      <c r="B88" s="119" t="s">
        <v>15</v>
      </c>
      <c r="C88" s="126" t="s">
        <v>224</v>
      </c>
      <c r="D88" s="129">
        <v>53317</v>
      </c>
      <c r="E88" s="135">
        <v>35908976</v>
      </c>
      <c r="F88" s="132">
        <v>39391494</v>
      </c>
      <c r="G88" s="139">
        <f t="shared" si="5"/>
        <v>-3482518</v>
      </c>
      <c r="H88" s="143">
        <v>8923495.31</v>
      </c>
      <c r="I88" s="144">
        <v>0</v>
      </c>
      <c r="J88" s="34">
        <f t="shared" si="6"/>
        <v>167.36679314290004</v>
      </c>
      <c r="K88" s="47">
        <f t="shared" si="7"/>
        <v>0</v>
      </c>
      <c r="L88" s="45">
        <f t="shared" si="8"/>
        <v>24.85031962482027</v>
      </c>
      <c r="M88" s="46">
        <f t="shared" si="9"/>
        <v>0</v>
      </c>
    </row>
    <row r="89" spans="1:13" ht="12.75">
      <c r="A89" s="122" t="s">
        <v>21</v>
      </c>
      <c r="B89" s="119" t="s">
        <v>139</v>
      </c>
      <c r="C89" s="126" t="s">
        <v>225</v>
      </c>
      <c r="D89" s="129">
        <v>82195</v>
      </c>
      <c r="E89" s="135">
        <v>53926199</v>
      </c>
      <c r="F89" s="132">
        <v>54135807</v>
      </c>
      <c r="G89" s="139">
        <f t="shared" si="5"/>
        <v>-209608</v>
      </c>
      <c r="H89" s="143">
        <v>3968995</v>
      </c>
      <c r="I89" s="144">
        <v>0</v>
      </c>
      <c r="J89" s="34">
        <f t="shared" si="6"/>
        <v>48.287547904373746</v>
      </c>
      <c r="K89" s="47">
        <f t="shared" si="7"/>
        <v>0</v>
      </c>
      <c r="L89" s="45">
        <f t="shared" si="8"/>
        <v>7.360049611507015</v>
      </c>
      <c r="M89" s="46">
        <f t="shared" si="9"/>
        <v>0</v>
      </c>
    </row>
    <row r="90" spans="1:13" ht="12.75">
      <c r="A90" s="122" t="s">
        <v>21</v>
      </c>
      <c r="B90" s="119" t="s">
        <v>17</v>
      </c>
      <c r="C90" s="126" t="s">
        <v>226</v>
      </c>
      <c r="D90" s="129">
        <v>64793</v>
      </c>
      <c r="E90" s="135">
        <v>36411482.49</v>
      </c>
      <c r="F90" s="132">
        <v>39090682.49000001</v>
      </c>
      <c r="G90" s="139">
        <f t="shared" si="5"/>
        <v>-2679200.0000000075</v>
      </c>
      <c r="H90" s="143">
        <v>4331278.85</v>
      </c>
      <c r="I90" s="144">
        <v>0</v>
      </c>
      <c r="J90" s="34">
        <f t="shared" si="6"/>
        <v>66.84794422236969</v>
      </c>
      <c r="K90" s="47">
        <f t="shared" si="7"/>
        <v>0</v>
      </c>
      <c r="L90" s="45">
        <f t="shared" si="8"/>
        <v>11.895365290851686</v>
      </c>
      <c r="M90" s="46">
        <f t="shared" si="9"/>
        <v>0</v>
      </c>
    </row>
    <row r="91" spans="1:13" ht="12.75">
      <c r="A91" s="122" t="s">
        <v>21</v>
      </c>
      <c r="B91" s="119" t="s">
        <v>142</v>
      </c>
      <c r="C91" s="126" t="s">
        <v>227</v>
      </c>
      <c r="D91" s="129">
        <v>78594</v>
      </c>
      <c r="E91" s="135">
        <v>46783173</v>
      </c>
      <c r="F91" s="132">
        <v>47177029</v>
      </c>
      <c r="G91" s="139">
        <f t="shared" si="5"/>
        <v>-393856</v>
      </c>
      <c r="H91" s="143">
        <v>2414544.04</v>
      </c>
      <c r="I91" s="144">
        <v>0</v>
      </c>
      <c r="J91" s="34">
        <f t="shared" si="6"/>
        <v>30.721734992493065</v>
      </c>
      <c r="K91" s="47">
        <f t="shared" si="7"/>
        <v>0</v>
      </c>
      <c r="L91" s="45">
        <f t="shared" si="8"/>
        <v>5.161137830475928</v>
      </c>
      <c r="M91" s="46">
        <f t="shared" si="9"/>
        <v>0</v>
      </c>
    </row>
    <row r="92" spans="1:13" ht="12.75">
      <c r="A92" s="122" t="s">
        <v>21</v>
      </c>
      <c r="B92" s="119" t="s">
        <v>19</v>
      </c>
      <c r="C92" s="126" t="s">
        <v>228</v>
      </c>
      <c r="D92" s="129">
        <v>119078</v>
      </c>
      <c r="E92" s="135">
        <v>66690531</v>
      </c>
      <c r="F92" s="132">
        <v>66487770</v>
      </c>
      <c r="G92" s="139">
        <f t="shared" si="5"/>
        <v>202761</v>
      </c>
      <c r="H92" s="143">
        <v>6575657.8</v>
      </c>
      <c r="I92" s="144">
        <v>0</v>
      </c>
      <c r="J92" s="34">
        <f t="shared" si="6"/>
        <v>55.22143301029577</v>
      </c>
      <c r="K92" s="47">
        <f t="shared" si="7"/>
        <v>0</v>
      </c>
      <c r="L92" s="45">
        <f t="shared" si="8"/>
        <v>9.859957180427909</v>
      </c>
      <c r="M92" s="46">
        <f t="shared" si="9"/>
        <v>0</v>
      </c>
    </row>
    <row r="93" spans="1:13" ht="12.75">
      <c r="A93" s="122" t="s">
        <v>21</v>
      </c>
      <c r="B93" s="119" t="s">
        <v>145</v>
      </c>
      <c r="C93" s="126" t="s">
        <v>229</v>
      </c>
      <c r="D93" s="129">
        <v>53283</v>
      </c>
      <c r="E93" s="135">
        <v>28828848</v>
      </c>
      <c r="F93" s="132">
        <v>30948718</v>
      </c>
      <c r="G93" s="139">
        <f t="shared" si="5"/>
        <v>-2119870</v>
      </c>
      <c r="H93" s="143">
        <v>7067241.09</v>
      </c>
      <c r="I93" s="144">
        <v>340</v>
      </c>
      <c r="J93" s="34">
        <f t="shared" si="6"/>
        <v>132.63594561117054</v>
      </c>
      <c r="K93" s="47">
        <f t="shared" si="7"/>
        <v>0.006381022089597057</v>
      </c>
      <c r="L93" s="45">
        <f t="shared" si="8"/>
        <v>24.514476228810807</v>
      </c>
      <c r="M93" s="46">
        <f t="shared" si="9"/>
        <v>0.0011793742157161467</v>
      </c>
    </row>
    <row r="94" spans="1:13" ht="12.75">
      <c r="A94" s="122" t="s">
        <v>21</v>
      </c>
      <c r="B94" s="119" t="s">
        <v>21</v>
      </c>
      <c r="C94" s="126" t="s">
        <v>230</v>
      </c>
      <c r="D94" s="129">
        <v>90261</v>
      </c>
      <c r="E94" s="135">
        <v>41807877.31</v>
      </c>
      <c r="F94" s="132">
        <v>43861306.88999999</v>
      </c>
      <c r="G94" s="139">
        <f t="shared" si="5"/>
        <v>-2053429.5799999908</v>
      </c>
      <c r="H94" s="143">
        <v>3394879.7</v>
      </c>
      <c r="I94" s="144">
        <v>0</v>
      </c>
      <c r="J94" s="34">
        <f t="shared" si="6"/>
        <v>37.611811302777504</v>
      </c>
      <c r="K94" s="47">
        <f t="shared" si="7"/>
        <v>0</v>
      </c>
      <c r="L94" s="45">
        <f t="shared" si="8"/>
        <v>8.120191500820303</v>
      </c>
      <c r="M94" s="46">
        <f t="shared" si="9"/>
        <v>0</v>
      </c>
    </row>
    <row r="95" spans="1:13" ht="12.75">
      <c r="A95" s="122" t="s">
        <v>21</v>
      </c>
      <c r="B95" s="119" t="s">
        <v>148</v>
      </c>
      <c r="C95" s="126" t="s">
        <v>231</v>
      </c>
      <c r="D95" s="129">
        <v>42192</v>
      </c>
      <c r="E95" s="135">
        <v>41993836</v>
      </c>
      <c r="F95" s="132">
        <v>43316733</v>
      </c>
      <c r="G95" s="139">
        <f t="shared" si="5"/>
        <v>-1322897</v>
      </c>
      <c r="H95" s="143">
        <v>787547.75</v>
      </c>
      <c r="I95" s="144">
        <v>0</v>
      </c>
      <c r="J95" s="34">
        <f t="shared" si="6"/>
        <v>18.665807499051954</v>
      </c>
      <c r="K95" s="47">
        <f t="shared" si="7"/>
        <v>0</v>
      </c>
      <c r="L95" s="45">
        <f t="shared" si="8"/>
        <v>1.8753889261271584</v>
      </c>
      <c r="M95" s="46">
        <f t="shared" si="9"/>
        <v>0</v>
      </c>
    </row>
    <row r="96" spans="1:13" ht="12.75">
      <c r="A96" s="122" t="s">
        <v>21</v>
      </c>
      <c r="B96" s="119" t="s">
        <v>23</v>
      </c>
      <c r="C96" s="126" t="s">
        <v>232</v>
      </c>
      <c r="D96" s="129">
        <v>118623</v>
      </c>
      <c r="E96" s="135">
        <v>144413244</v>
      </c>
      <c r="F96" s="132">
        <v>147198804</v>
      </c>
      <c r="G96" s="139">
        <f t="shared" si="5"/>
        <v>-2785560</v>
      </c>
      <c r="H96" s="143">
        <v>21457512.49</v>
      </c>
      <c r="I96" s="144">
        <v>0</v>
      </c>
      <c r="J96" s="34">
        <f t="shared" si="6"/>
        <v>180.88829729479104</v>
      </c>
      <c r="K96" s="47">
        <f t="shared" si="7"/>
        <v>0</v>
      </c>
      <c r="L96" s="45">
        <f t="shared" si="8"/>
        <v>14.85841041698364</v>
      </c>
      <c r="M96" s="46">
        <f t="shared" si="9"/>
        <v>0</v>
      </c>
    </row>
    <row r="97" spans="1:13" ht="12.75">
      <c r="A97" s="122" t="s">
        <v>21</v>
      </c>
      <c r="B97" s="119" t="s">
        <v>151</v>
      </c>
      <c r="C97" s="126" t="s">
        <v>233</v>
      </c>
      <c r="D97" s="129">
        <v>49401</v>
      </c>
      <c r="E97" s="135">
        <v>40368306</v>
      </c>
      <c r="F97" s="132">
        <v>43397984</v>
      </c>
      <c r="G97" s="139">
        <f t="shared" si="5"/>
        <v>-3029678</v>
      </c>
      <c r="H97" s="143">
        <v>11406787.17</v>
      </c>
      <c r="I97" s="144">
        <v>0</v>
      </c>
      <c r="J97" s="34">
        <f t="shared" si="6"/>
        <v>230.9019487459768</v>
      </c>
      <c r="K97" s="47">
        <f t="shared" si="7"/>
        <v>0</v>
      </c>
      <c r="L97" s="45">
        <f t="shared" si="8"/>
        <v>28.256789299010958</v>
      </c>
      <c r="M97" s="46">
        <f t="shared" si="9"/>
        <v>0</v>
      </c>
    </row>
    <row r="98" spans="1:13" ht="12.75">
      <c r="A98" s="122" t="s">
        <v>21</v>
      </c>
      <c r="B98" s="119" t="s">
        <v>25</v>
      </c>
      <c r="C98" s="126" t="s">
        <v>234</v>
      </c>
      <c r="D98" s="129">
        <v>120795</v>
      </c>
      <c r="E98" s="135">
        <v>84857811</v>
      </c>
      <c r="F98" s="132">
        <v>92190733</v>
      </c>
      <c r="G98" s="139">
        <f t="shared" si="5"/>
        <v>-7332922</v>
      </c>
      <c r="H98" s="143">
        <v>5389213</v>
      </c>
      <c r="I98" s="144">
        <v>0</v>
      </c>
      <c r="J98" s="34">
        <f t="shared" si="6"/>
        <v>44.614537025539136</v>
      </c>
      <c r="K98" s="47">
        <f t="shared" si="7"/>
        <v>0</v>
      </c>
      <c r="L98" s="45">
        <f t="shared" si="8"/>
        <v>6.3508744056572475</v>
      </c>
      <c r="M98" s="46">
        <f t="shared" si="9"/>
        <v>0</v>
      </c>
    </row>
    <row r="99" spans="1:13" ht="12.75">
      <c r="A99" s="122" t="s">
        <v>21</v>
      </c>
      <c r="B99" s="119" t="s">
        <v>154</v>
      </c>
      <c r="C99" s="126" t="s">
        <v>235</v>
      </c>
      <c r="D99" s="129">
        <v>37765</v>
      </c>
      <c r="E99" s="135">
        <v>13072264</v>
      </c>
      <c r="F99" s="132">
        <v>15940956</v>
      </c>
      <c r="G99" s="139">
        <f t="shared" si="5"/>
        <v>-2868692</v>
      </c>
      <c r="H99" s="143">
        <v>1581558</v>
      </c>
      <c r="I99" s="144">
        <v>0</v>
      </c>
      <c r="J99" s="34">
        <f t="shared" si="6"/>
        <v>41.878935522309014</v>
      </c>
      <c r="K99" s="47">
        <f t="shared" si="7"/>
        <v>0</v>
      </c>
      <c r="L99" s="45">
        <f t="shared" si="8"/>
        <v>12.098577568506878</v>
      </c>
      <c r="M99" s="46">
        <f t="shared" si="9"/>
        <v>0</v>
      </c>
    </row>
    <row r="100" spans="1:13" ht="12.75">
      <c r="A100" s="122" t="s">
        <v>21</v>
      </c>
      <c r="B100" s="119" t="s">
        <v>27</v>
      </c>
      <c r="C100" s="126" t="s">
        <v>206</v>
      </c>
      <c r="D100" s="129">
        <v>120887</v>
      </c>
      <c r="E100" s="135">
        <v>79925989</v>
      </c>
      <c r="F100" s="132">
        <v>90993841</v>
      </c>
      <c r="G100" s="139">
        <f t="shared" si="5"/>
        <v>-11067852</v>
      </c>
      <c r="H100" s="143">
        <v>6750616.94</v>
      </c>
      <c r="I100" s="144">
        <v>93078.53</v>
      </c>
      <c r="J100" s="34">
        <f t="shared" si="6"/>
        <v>55.84237295987162</v>
      </c>
      <c r="K100" s="47">
        <f t="shared" si="7"/>
        <v>0.7699631060411789</v>
      </c>
      <c r="L100" s="45">
        <f t="shared" si="8"/>
        <v>8.446084964929243</v>
      </c>
      <c r="M100" s="46">
        <f t="shared" si="9"/>
        <v>0.11645590022039015</v>
      </c>
    </row>
    <row r="101" spans="1:13" ht="12.75">
      <c r="A101" s="122" t="s">
        <v>21</v>
      </c>
      <c r="B101" s="119" t="s">
        <v>157</v>
      </c>
      <c r="C101" s="126" t="s">
        <v>236</v>
      </c>
      <c r="D101" s="129">
        <v>78254</v>
      </c>
      <c r="E101" s="135">
        <v>50217989</v>
      </c>
      <c r="F101" s="132">
        <v>50026824</v>
      </c>
      <c r="G101" s="139">
        <f t="shared" si="5"/>
        <v>191165</v>
      </c>
      <c r="H101" s="143">
        <v>5228586.98</v>
      </c>
      <c r="I101" s="144">
        <v>21130.02</v>
      </c>
      <c r="J101" s="34">
        <f t="shared" si="6"/>
        <v>66.81558744600916</v>
      </c>
      <c r="K101" s="47">
        <f t="shared" si="7"/>
        <v>0.2700184016152529</v>
      </c>
      <c r="L101" s="45">
        <f t="shared" si="8"/>
        <v>10.411780885929145</v>
      </c>
      <c r="M101" s="46">
        <f t="shared" si="9"/>
        <v>0.04207659530133714</v>
      </c>
    </row>
    <row r="102" spans="1:13" ht="12.75">
      <c r="A102" s="122" t="s">
        <v>21</v>
      </c>
      <c r="B102" s="119" t="s">
        <v>29</v>
      </c>
      <c r="C102" s="126" t="s">
        <v>237</v>
      </c>
      <c r="D102" s="129">
        <v>42269</v>
      </c>
      <c r="E102" s="135">
        <v>27498040</v>
      </c>
      <c r="F102" s="132">
        <v>28607566</v>
      </c>
      <c r="G102" s="139">
        <f t="shared" si="5"/>
        <v>-1109526</v>
      </c>
      <c r="H102" s="143">
        <v>2460243.24</v>
      </c>
      <c r="I102" s="144">
        <v>0</v>
      </c>
      <c r="J102" s="34">
        <f t="shared" si="6"/>
        <v>58.204434455511134</v>
      </c>
      <c r="K102" s="47">
        <f t="shared" si="7"/>
        <v>0</v>
      </c>
      <c r="L102" s="45">
        <f t="shared" si="8"/>
        <v>8.946976729977846</v>
      </c>
      <c r="M102" s="46">
        <f t="shared" si="9"/>
        <v>0</v>
      </c>
    </row>
    <row r="103" spans="1:13" ht="12.75">
      <c r="A103" s="122" t="s">
        <v>21</v>
      </c>
      <c r="B103" s="119" t="s">
        <v>160</v>
      </c>
      <c r="C103" s="126" t="s">
        <v>238</v>
      </c>
      <c r="D103" s="129">
        <v>67840</v>
      </c>
      <c r="E103" s="135">
        <v>47510968</v>
      </c>
      <c r="F103" s="132">
        <v>48161877</v>
      </c>
      <c r="G103" s="139">
        <f t="shared" si="5"/>
        <v>-650909</v>
      </c>
      <c r="H103" s="143">
        <v>13476423</v>
      </c>
      <c r="I103" s="144">
        <v>0</v>
      </c>
      <c r="J103" s="34">
        <f t="shared" si="6"/>
        <v>198.65010318396227</v>
      </c>
      <c r="K103" s="47">
        <f t="shared" si="7"/>
        <v>0</v>
      </c>
      <c r="L103" s="45">
        <f t="shared" si="8"/>
        <v>28.364867244969627</v>
      </c>
      <c r="M103" s="46">
        <f t="shared" si="9"/>
        <v>0</v>
      </c>
    </row>
    <row r="104" spans="1:13" ht="12.75">
      <c r="A104" s="122" t="s">
        <v>21</v>
      </c>
      <c r="B104" s="119" t="s">
        <v>31</v>
      </c>
      <c r="C104" s="126" t="s">
        <v>239</v>
      </c>
      <c r="D104" s="129">
        <v>160760</v>
      </c>
      <c r="E104" s="135">
        <v>92935450</v>
      </c>
      <c r="F104" s="132">
        <v>102562112.50999999</v>
      </c>
      <c r="G104" s="139">
        <f t="shared" si="5"/>
        <v>-9626662.50999999</v>
      </c>
      <c r="H104" s="143">
        <v>6496978</v>
      </c>
      <c r="I104" s="144">
        <v>0</v>
      </c>
      <c r="J104" s="34">
        <f t="shared" si="6"/>
        <v>40.414145309778554</v>
      </c>
      <c r="K104" s="47">
        <f t="shared" si="7"/>
        <v>0</v>
      </c>
      <c r="L104" s="45">
        <f t="shared" si="8"/>
        <v>6.990850100795767</v>
      </c>
      <c r="M104" s="46">
        <f t="shared" si="9"/>
        <v>0</v>
      </c>
    </row>
    <row r="105" spans="1:13" ht="12.75">
      <c r="A105" s="122" t="s">
        <v>21</v>
      </c>
      <c r="B105" s="119" t="s">
        <v>163</v>
      </c>
      <c r="C105" s="126" t="s">
        <v>240</v>
      </c>
      <c r="D105" s="129">
        <v>30614</v>
      </c>
      <c r="E105" s="135">
        <v>20813776</v>
      </c>
      <c r="F105" s="132">
        <v>22048852</v>
      </c>
      <c r="G105" s="139">
        <f t="shared" si="5"/>
        <v>-1235076</v>
      </c>
      <c r="H105" s="143">
        <v>2710241</v>
      </c>
      <c r="I105" s="144">
        <v>0</v>
      </c>
      <c r="J105" s="34">
        <f t="shared" si="6"/>
        <v>88.5294636440844</v>
      </c>
      <c r="K105" s="47">
        <f t="shared" si="7"/>
        <v>0</v>
      </c>
      <c r="L105" s="45">
        <f t="shared" si="8"/>
        <v>13.02138064712525</v>
      </c>
      <c r="M105" s="46">
        <f t="shared" si="9"/>
        <v>0</v>
      </c>
    </row>
    <row r="106" spans="1:13" ht="12.75">
      <c r="A106" s="122" t="s">
        <v>23</v>
      </c>
      <c r="B106" s="119" t="s">
        <v>133</v>
      </c>
      <c r="C106" s="126" t="s">
        <v>241</v>
      </c>
      <c r="D106" s="129">
        <v>100726</v>
      </c>
      <c r="E106" s="135">
        <v>63675257</v>
      </c>
      <c r="F106" s="132">
        <v>66297993</v>
      </c>
      <c r="G106" s="139">
        <f t="shared" si="5"/>
        <v>-2622736</v>
      </c>
      <c r="H106" s="143">
        <v>9820000</v>
      </c>
      <c r="I106" s="144">
        <v>0</v>
      </c>
      <c r="J106" s="34">
        <f t="shared" si="6"/>
        <v>97.49220658022755</v>
      </c>
      <c r="K106" s="47">
        <f t="shared" si="7"/>
        <v>0</v>
      </c>
      <c r="L106" s="45">
        <f t="shared" si="8"/>
        <v>15.422002929646597</v>
      </c>
      <c r="M106" s="46">
        <f t="shared" si="9"/>
        <v>0</v>
      </c>
    </row>
    <row r="107" spans="1:13" ht="12.75">
      <c r="A107" s="122" t="s">
        <v>23</v>
      </c>
      <c r="B107" s="119" t="s">
        <v>13</v>
      </c>
      <c r="C107" s="126" t="s">
        <v>242</v>
      </c>
      <c r="D107" s="129">
        <v>90268</v>
      </c>
      <c r="E107" s="135">
        <v>53331321</v>
      </c>
      <c r="F107" s="132">
        <v>61151953</v>
      </c>
      <c r="G107" s="139">
        <f t="shared" si="5"/>
        <v>-7820632</v>
      </c>
      <c r="H107" s="143">
        <v>16140525.36</v>
      </c>
      <c r="I107" s="144">
        <v>4255.36</v>
      </c>
      <c r="J107" s="34">
        <f t="shared" si="6"/>
        <v>178.80672397748924</v>
      </c>
      <c r="K107" s="47">
        <f t="shared" si="7"/>
        <v>0.04714140116098728</v>
      </c>
      <c r="L107" s="45">
        <f t="shared" si="8"/>
        <v>30.264626972206443</v>
      </c>
      <c r="M107" s="46">
        <f t="shared" si="9"/>
        <v>0.007979101061456925</v>
      </c>
    </row>
    <row r="108" spans="1:13" ht="12.75">
      <c r="A108" s="122" t="s">
        <v>23</v>
      </c>
      <c r="B108" s="119" t="s">
        <v>136</v>
      </c>
      <c r="C108" s="126" t="s">
        <v>243</v>
      </c>
      <c r="D108" s="129">
        <v>128093</v>
      </c>
      <c r="E108" s="135">
        <v>64148939</v>
      </c>
      <c r="F108" s="132">
        <v>67830851</v>
      </c>
      <c r="G108" s="139">
        <f t="shared" si="5"/>
        <v>-3681912</v>
      </c>
      <c r="H108" s="143">
        <v>5910000</v>
      </c>
      <c r="I108" s="144">
        <v>0</v>
      </c>
      <c r="J108" s="34">
        <f t="shared" si="6"/>
        <v>46.138352603186746</v>
      </c>
      <c r="K108" s="47">
        <f t="shared" si="7"/>
        <v>0</v>
      </c>
      <c r="L108" s="45">
        <f t="shared" si="8"/>
        <v>9.21293491697501</v>
      </c>
      <c r="M108" s="46">
        <f t="shared" si="9"/>
        <v>0</v>
      </c>
    </row>
    <row r="109" spans="1:13" ht="12.75">
      <c r="A109" s="122" t="s">
        <v>23</v>
      </c>
      <c r="B109" s="119" t="s">
        <v>15</v>
      </c>
      <c r="C109" s="126" t="s">
        <v>244</v>
      </c>
      <c r="D109" s="129">
        <v>58605</v>
      </c>
      <c r="E109" s="135">
        <v>31318120</v>
      </c>
      <c r="F109" s="132">
        <v>31816770</v>
      </c>
      <c r="G109" s="139">
        <f t="shared" si="5"/>
        <v>-498650</v>
      </c>
      <c r="H109" s="143">
        <v>5373339.91</v>
      </c>
      <c r="I109" s="144">
        <v>0</v>
      </c>
      <c r="J109" s="34">
        <f t="shared" si="6"/>
        <v>91.68739715041379</v>
      </c>
      <c r="K109" s="47">
        <f t="shared" si="7"/>
        <v>0</v>
      </c>
      <c r="L109" s="45">
        <f t="shared" si="8"/>
        <v>17.157287570262838</v>
      </c>
      <c r="M109" s="46">
        <f t="shared" si="9"/>
        <v>0</v>
      </c>
    </row>
    <row r="110" spans="1:13" ht="12.75">
      <c r="A110" s="122" t="s">
        <v>23</v>
      </c>
      <c r="B110" s="119" t="s">
        <v>139</v>
      </c>
      <c r="C110" s="126" t="s">
        <v>245</v>
      </c>
      <c r="D110" s="129">
        <v>106676</v>
      </c>
      <c r="E110" s="135">
        <v>77371636</v>
      </c>
      <c r="F110" s="132">
        <v>83954617</v>
      </c>
      <c r="G110" s="139">
        <f t="shared" si="5"/>
        <v>-6582981</v>
      </c>
      <c r="H110" s="143">
        <v>2709244.86</v>
      </c>
      <c r="I110" s="144">
        <v>60923.61</v>
      </c>
      <c r="J110" s="34">
        <f t="shared" si="6"/>
        <v>25.396948329521166</v>
      </c>
      <c r="K110" s="47">
        <f t="shared" si="7"/>
        <v>0.5711088717237242</v>
      </c>
      <c r="L110" s="45">
        <f t="shared" si="8"/>
        <v>3.5015995525802244</v>
      </c>
      <c r="M110" s="46">
        <f t="shared" si="9"/>
        <v>0.07874153003563218</v>
      </c>
    </row>
    <row r="111" spans="1:13" ht="12.75">
      <c r="A111" s="122" t="s">
        <v>23</v>
      </c>
      <c r="B111" s="119" t="s">
        <v>17</v>
      </c>
      <c r="C111" s="126" t="s">
        <v>246</v>
      </c>
      <c r="D111" s="129">
        <v>245944</v>
      </c>
      <c r="E111" s="135">
        <v>112675182</v>
      </c>
      <c r="F111" s="132">
        <v>127376909</v>
      </c>
      <c r="G111" s="139">
        <f t="shared" si="5"/>
        <v>-14701727</v>
      </c>
      <c r="H111" s="143">
        <v>11787018.69</v>
      </c>
      <c r="I111" s="144">
        <v>1271</v>
      </c>
      <c r="J111" s="34">
        <f t="shared" si="6"/>
        <v>47.925620019191356</v>
      </c>
      <c r="K111" s="47">
        <f t="shared" si="7"/>
        <v>0.005167843086231012</v>
      </c>
      <c r="L111" s="45">
        <f t="shared" si="8"/>
        <v>10.461060262587372</v>
      </c>
      <c r="M111" s="46">
        <f t="shared" si="9"/>
        <v>0.0011280212531629193</v>
      </c>
    </row>
    <row r="112" spans="1:13" ht="12.75">
      <c r="A112" s="122" t="s">
        <v>23</v>
      </c>
      <c r="B112" s="119" t="s">
        <v>142</v>
      </c>
      <c r="C112" s="126" t="s">
        <v>247</v>
      </c>
      <c r="D112" s="129">
        <v>122128</v>
      </c>
      <c r="E112" s="135">
        <v>92826476.13</v>
      </c>
      <c r="F112" s="132">
        <v>96042178.80999997</v>
      </c>
      <c r="G112" s="139">
        <f t="shared" si="5"/>
        <v>-3215702.6799999774</v>
      </c>
      <c r="H112" s="143">
        <v>17605293.7</v>
      </c>
      <c r="I112" s="144">
        <v>122</v>
      </c>
      <c r="J112" s="34">
        <f t="shared" si="6"/>
        <v>144.15444206078868</v>
      </c>
      <c r="K112" s="47">
        <f t="shared" si="7"/>
        <v>0.000998951919297786</v>
      </c>
      <c r="L112" s="45">
        <f t="shared" si="8"/>
        <v>18.96581065443489</v>
      </c>
      <c r="M112" s="46">
        <f t="shared" si="9"/>
        <v>0.00013142802041644195</v>
      </c>
    </row>
    <row r="113" spans="1:13" ht="12.75">
      <c r="A113" s="122" t="s">
        <v>23</v>
      </c>
      <c r="B113" s="119" t="s">
        <v>19</v>
      </c>
      <c r="C113" s="126" t="s">
        <v>248</v>
      </c>
      <c r="D113" s="129">
        <v>50763</v>
      </c>
      <c r="E113" s="135">
        <v>43136439</v>
      </c>
      <c r="F113" s="132">
        <v>45472044</v>
      </c>
      <c r="G113" s="139">
        <f t="shared" si="5"/>
        <v>-2335605</v>
      </c>
      <c r="H113" s="143">
        <v>5389313</v>
      </c>
      <c r="I113" s="144">
        <v>0</v>
      </c>
      <c r="J113" s="34">
        <f t="shared" si="6"/>
        <v>106.16616433228927</v>
      </c>
      <c r="K113" s="47">
        <f t="shared" si="7"/>
        <v>0</v>
      </c>
      <c r="L113" s="45">
        <f t="shared" si="8"/>
        <v>12.49364371500392</v>
      </c>
      <c r="M113" s="46">
        <f t="shared" si="9"/>
        <v>0</v>
      </c>
    </row>
    <row r="114" spans="1:13" ht="12.75">
      <c r="A114" s="122" t="s">
        <v>23</v>
      </c>
      <c r="B114" s="119" t="s">
        <v>145</v>
      </c>
      <c r="C114" s="126" t="s">
        <v>249</v>
      </c>
      <c r="D114" s="129">
        <v>117199</v>
      </c>
      <c r="E114" s="135">
        <v>69238632</v>
      </c>
      <c r="F114" s="132">
        <v>73917623</v>
      </c>
      <c r="G114" s="139">
        <f t="shared" si="5"/>
        <v>-4678991</v>
      </c>
      <c r="H114" s="143">
        <v>6283675.94</v>
      </c>
      <c r="I114" s="144">
        <v>0</v>
      </c>
      <c r="J114" s="34">
        <f t="shared" si="6"/>
        <v>53.61543989283185</v>
      </c>
      <c r="K114" s="47">
        <f t="shared" si="7"/>
        <v>0</v>
      </c>
      <c r="L114" s="45">
        <f t="shared" si="8"/>
        <v>9.075390079919545</v>
      </c>
      <c r="M114" s="46">
        <f t="shared" si="9"/>
        <v>0</v>
      </c>
    </row>
    <row r="115" spans="1:13" ht="12.75">
      <c r="A115" s="122" t="s">
        <v>23</v>
      </c>
      <c r="B115" s="119" t="s">
        <v>21</v>
      </c>
      <c r="C115" s="126" t="s">
        <v>250</v>
      </c>
      <c r="D115" s="129">
        <v>198630</v>
      </c>
      <c r="E115" s="135">
        <v>90633251</v>
      </c>
      <c r="F115" s="132">
        <v>95701679</v>
      </c>
      <c r="G115" s="139">
        <f t="shared" si="5"/>
        <v>-5068428</v>
      </c>
      <c r="H115" s="143">
        <v>30491046</v>
      </c>
      <c r="I115" s="144">
        <v>0</v>
      </c>
      <c r="J115" s="34">
        <f t="shared" si="6"/>
        <v>153.50675124603535</v>
      </c>
      <c r="K115" s="47">
        <f t="shared" si="7"/>
        <v>0</v>
      </c>
      <c r="L115" s="45">
        <f t="shared" si="8"/>
        <v>33.64222916377567</v>
      </c>
      <c r="M115" s="46">
        <f t="shared" si="9"/>
        <v>0</v>
      </c>
    </row>
    <row r="116" spans="1:13" ht="12.75">
      <c r="A116" s="122" t="s">
        <v>23</v>
      </c>
      <c r="B116" s="119" t="s">
        <v>148</v>
      </c>
      <c r="C116" s="126" t="s">
        <v>251</v>
      </c>
      <c r="D116" s="129">
        <v>182165</v>
      </c>
      <c r="E116" s="135">
        <v>115439077</v>
      </c>
      <c r="F116" s="132">
        <v>122354892</v>
      </c>
      <c r="G116" s="139">
        <f t="shared" si="5"/>
        <v>-6915815</v>
      </c>
      <c r="H116" s="143">
        <v>18982514</v>
      </c>
      <c r="I116" s="144">
        <v>0</v>
      </c>
      <c r="J116" s="34">
        <f t="shared" si="6"/>
        <v>104.20505585595477</v>
      </c>
      <c r="K116" s="47">
        <f t="shared" si="7"/>
        <v>0</v>
      </c>
      <c r="L116" s="45">
        <f t="shared" si="8"/>
        <v>16.44375067205362</v>
      </c>
      <c r="M116" s="46">
        <f t="shared" si="9"/>
        <v>0</v>
      </c>
    </row>
    <row r="117" spans="1:13" ht="12.75">
      <c r="A117" s="122" t="s">
        <v>23</v>
      </c>
      <c r="B117" s="119" t="s">
        <v>23</v>
      </c>
      <c r="C117" s="126" t="s">
        <v>252</v>
      </c>
      <c r="D117" s="129">
        <v>114138</v>
      </c>
      <c r="E117" s="135">
        <v>72672729</v>
      </c>
      <c r="F117" s="132">
        <v>78241999</v>
      </c>
      <c r="G117" s="139">
        <f t="shared" si="5"/>
        <v>-5569270</v>
      </c>
      <c r="H117" s="143">
        <v>15458223.16</v>
      </c>
      <c r="I117" s="144">
        <v>0</v>
      </c>
      <c r="J117" s="34">
        <f t="shared" si="6"/>
        <v>135.4345017435035</v>
      </c>
      <c r="K117" s="47">
        <f t="shared" si="7"/>
        <v>0</v>
      </c>
      <c r="L117" s="45">
        <f t="shared" si="8"/>
        <v>21.271009597011282</v>
      </c>
      <c r="M117" s="46">
        <f t="shared" si="9"/>
        <v>0</v>
      </c>
    </row>
    <row r="118" spans="1:13" ht="12.75">
      <c r="A118" s="122" t="s">
        <v>23</v>
      </c>
      <c r="B118" s="119" t="s">
        <v>151</v>
      </c>
      <c r="C118" s="126" t="s">
        <v>253</v>
      </c>
      <c r="D118" s="129">
        <v>153239</v>
      </c>
      <c r="E118" s="135">
        <v>116135089</v>
      </c>
      <c r="F118" s="132">
        <v>123744482</v>
      </c>
      <c r="G118" s="139">
        <f t="shared" si="5"/>
        <v>-7609393</v>
      </c>
      <c r="H118" s="143">
        <v>9617664.1</v>
      </c>
      <c r="I118" s="144">
        <v>0.1</v>
      </c>
      <c r="J118" s="34">
        <f t="shared" si="6"/>
        <v>62.76250889133967</v>
      </c>
      <c r="K118" s="47">
        <f t="shared" si="7"/>
        <v>6.525753887717879E-07</v>
      </c>
      <c r="L118" s="45">
        <f t="shared" si="8"/>
        <v>8.281445498354076</v>
      </c>
      <c r="M118" s="46">
        <f t="shared" si="9"/>
        <v>8.610662019641626E-08</v>
      </c>
    </row>
    <row r="119" spans="1:13" ht="12.75">
      <c r="A119" s="122" t="s">
        <v>23</v>
      </c>
      <c r="B119" s="119" t="s">
        <v>25</v>
      </c>
      <c r="C119" s="126" t="s">
        <v>254</v>
      </c>
      <c r="D119" s="129">
        <v>43470</v>
      </c>
      <c r="E119" s="135">
        <v>24756689</v>
      </c>
      <c r="F119" s="132">
        <v>24486689</v>
      </c>
      <c r="G119" s="139">
        <f t="shared" si="5"/>
        <v>270000</v>
      </c>
      <c r="H119" s="143">
        <v>6960522.32</v>
      </c>
      <c r="I119" s="144">
        <v>106798.68</v>
      </c>
      <c r="J119" s="34">
        <f t="shared" si="6"/>
        <v>160.12243662295836</v>
      </c>
      <c r="K119" s="47">
        <f t="shared" si="7"/>
        <v>2.4568364389233954</v>
      </c>
      <c r="L119" s="45">
        <f t="shared" si="8"/>
        <v>28.11572387567659</v>
      </c>
      <c r="M119" s="46">
        <f t="shared" si="9"/>
        <v>0.43139322871487373</v>
      </c>
    </row>
    <row r="120" spans="1:13" ht="12.75">
      <c r="A120" s="122" t="s">
        <v>23</v>
      </c>
      <c r="B120" s="119" t="s">
        <v>154</v>
      </c>
      <c r="C120" s="126" t="s">
        <v>255</v>
      </c>
      <c r="D120" s="129">
        <v>82081</v>
      </c>
      <c r="E120" s="135">
        <v>61086763</v>
      </c>
      <c r="F120" s="132">
        <v>63705998</v>
      </c>
      <c r="G120" s="139">
        <f t="shared" si="5"/>
        <v>-2619235</v>
      </c>
      <c r="H120" s="143">
        <v>8181541</v>
      </c>
      <c r="I120" s="144">
        <v>0</v>
      </c>
      <c r="J120" s="34">
        <f t="shared" si="6"/>
        <v>99.67642938073367</v>
      </c>
      <c r="K120" s="47">
        <f t="shared" si="7"/>
        <v>0</v>
      </c>
      <c r="L120" s="45">
        <f t="shared" si="8"/>
        <v>13.39331239404517</v>
      </c>
      <c r="M120" s="46">
        <f t="shared" si="9"/>
        <v>0</v>
      </c>
    </row>
    <row r="121" spans="1:13" ht="12.75">
      <c r="A121" s="122" t="s">
        <v>23</v>
      </c>
      <c r="B121" s="119" t="s">
        <v>27</v>
      </c>
      <c r="C121" s="126" t="s">
        <v>256</v>
      </c>
      <c r="D121" s="129">
        <v>193781</v>
      </c>
      <c r="E121" s="135">
        <v>92713199</v>
      </c>
      <c r="F121" s="132">
        <v>106645871</v>
      </c>
      <c r="G121" s="139">
        <f t="shared" si="5"/>
        <v>-13932672</v>
      </c>
      <c r="H121" s="143">
        <v>18962054.55</v>
      </c>
      <c r="I121" s="144">
        <v>0</v>
      </c>
      <c r="J121" s="34">
        <f t="shared" si="6"/>
        <v>97.85301216321518</v>
      </c>
      <c r="K121" s="47">
        <f t="shared" si="7"/>
        <v>0</v>
      </c>
      <c r="L121" s="45">
        <f t="shared" si="8"/>
        <v>20.4523786845064</v>
      </c>
      <c r="M121" s="46">
        <f t="shared" si="9"/>
        <v>0</v>
      </c>
    </row>
    <row r="122" spans="1:13" ht="12.75">
      <c r="A122" s="122" t="s">
        <v>23</v>
      </c>
      <c r="B122" s="119" t="s">
        <v>157</v>
      </c>
      <c r="C122" s="126" t="s">
        <v>257</v>
      </c>
      <c r="D122" s="129">
        <v>65196</v>
      </c>
      <c r="E122" s="135">
        <v>54864529</v>
      </c>
      <c r="F122" s="132">
        <v>56486176</v>
      </c>
      <c r="G122" s="139">
        <f t="shared" si="5"/>
        <v>-1621647</v>
      </c>
      <c r="H122" s="143">
        <v>3700000</v>
      </c>
      <c r="I122" s="144">
        <v>0</v>
      </c>
      <c r="J122" s="34">
        <f t="shared" si="6"/>
        <v>56.75194797226824</v>
      </c>
      <c r="K122" s="47">
        <f t="shared" si="7"/>
        <v>0</v>
      </c>
      <c r="L122" s="45">
        <f t="shared" si="8"/>
        <v>6.743883648395123</v>
      </c>
      <c r="M122" s="46">
        <f t="shared" si="9"/>
        <v>0</v>
      </c>
    </row>
    <row r="123" spans="1:13" ht="12.75">
      <c r="A123" s="122" t="s">
        <v>23</v>
      </c>
      <c r="B123" s="119" t="s">
        <v>29</v>
      </c>
      <c r="C123" s="126" t="s">
        <v>258</v>
      </c>
      <c r="D123" s="129">
        <v>154440</v>
      </c>
      <c r="E123" s="135">
        <v>89933685</v>
      </c>
      <c r="F123" s="132">
        <v>95043189</v>
      </c>
      <c r="G123" s="139">
        <f t="shared" si="5"/>
        <v>-5109504</v>
      </c>
      <c r="H123" s="143">
        <v>8394050</v>
      </c>
      <c r="I123" s="144">
        <v>0</v>
      </c>
      <c r="J123" s="34">
        <f t="shared" si="6"/>
        <v>54.3515281015281</v>
      </c>
      <c r="K123" s="47">
        <f t="shared" si="7"/>
        <v>0</v>
      </c>
      <c r="L123" s="45">
        <f t="shared" si="8"/>
        <v>9.333599529475524</v>
      </c>
      <c r="M123" s="46">
        <f t="shared" si="9"/>
        <v>0</v>
      </c>
    </row>
    <row r="124" spans="1:13" ht="12.75">
      <c r="A124" s="122" t="s">
        <v>23</v>
      </c>
      <c r="B124" s="119" t="s">
        <v>160</v>
      </c>
      <c r="C124" s="126" t="s">
        <v>259</v>
      </c>
      <c r="D124" s="129">
        <v>105943</v>
      </c>
      <c r="E124" s="135">
        <v>44483674</v>
      </c>
      <c r="F124" s="132">
        <v>55037341</v>
      </c>
      <c r="G124" s="139">
        <f t="shared" si="5"/>
        <v>-10553667</v>
      </c>
      <c r="H124" s="143">
        <v>7155300.9</v>
      </c>
      <c r="I124" s="144">
        <v>0</v>
      </c>
      <c r="J124" s="34">
        <f t="shared" si="6"/>
        <v>67.53915690512824</v>
      </c>
      <c r="K124" s="47">
        <f t="shared" si="7"/>
        <v>0</v>
      </c>
      <c r="L124" s="45">
        <f t="shared" si="8"/>
        <v>16.085229156206836</v>
      </c>
      <c r="M124" s="46">
        <f t="shared" si="9"/>
        <v>0</v>
      </c>
    </row>
    <row r="125" spans="1:13" ht="12.75">
      <c r="A125" s="122" t="s">
        <v>25</v>
      </c>
      <c r="B125" s="119" t="s">
        <v>133</v>
      </c>
      <c r="C125" s="126" t="s">
        <v>260</v>
      </c>
      <c r="D125" s="129">
        <v>33578</v>
      </c>
      <c r="E125" s="135">
        <v>23630266</v>
      </c>
      <c r="F125" s="132">
        <v>23937552</v>
      </c>
      <c r="G125" s="139">
        <f t="shared" si="5"/>
        <v>-307286</v>
      </c>
      <c r="H125" s="143">
        <v>750716</v>
      </c>
      <c r="I125" s="144">
        <v>0</v>
      </c>
      <c r="J125" s="34">
        <f t="shared" si="6"/>
        <v>22.35737685389243</v>
      </c>
      <c r="K125" s="47">
        <f t="shared" si="7"/>
        <v>0</v>
      </c>
      <c r="L125" s="45">
        <f t="shared" si="8"/>
        <v>3.1769257273701443</v>
      </c>
      <c r="M125" s="46">
        <f t="shared" si="9"/>
        <v>0</v>
      </c>
    </row>
    <row r="126" spans="1:13" ht="12.75">
      <c r="A126" s="122" t="s">
        <v>25</v>
      </c>
      <c r="B126" s="119" t="s">
        <v>13</v>
      </c>
      <c r="C126" s="126" t="s">
        <v>261</v>
      </c>
      <c r="D126" s="129">
        <v>90832</v>
      </c>
      <c r="E126" s="135">
        <v>61963324</v>
      </c>
      <c r="F126" s="132">
        <v>64725848</v>
      </c>
      <c r="G126" s="139">
        <f t="shared" si="5"/>
        <v>-2762524</v>
      </c>
      <c r="H126" s="143">
        <v>1321300</v>
      </c>
      <c r="I126" s="144">
        <v>0</v>
      </c>
      <c r="J126" s="34">
        <f t="shared" si="6"/>
        <v>14.546635546943808</v>
      </c>
      <c r="K126" s="47">
        <f t="shared" si="7"/>
        <v>0</v>
      </c>
      <c r="L126" s="45">
        <f t="shared" si="8"/>
        <v>2.1323904443861017</v>
      </c>
      <c r="M126" s="46">
        <f t="shared" si="9"/>
        <v>0</v>
      </c>
    </row>
    <row r="127" spans="1:13" ht="12.75">
      <c r="A127" s="122" t="s">
        <v>25</v>
      </c>
      <c r="B127" s="119" t="s">
        <v>136</v>
      </c>
      <c r="C127" s="126" t="s">
        <v>262</v>
      </c>
      <c r="D127" s="129">
        <v>106265</v>
      </c>
      <c r="E127" s="135">
        <v>119339292</v>
      </c>
      <c r="F127" s="132">
        <v>122505222</v>
      </c>
      <c r="G127" s="139">
        <f t="shared" si="5"/>
        <v>-3165930</v>
      </c>
      <c r="H127" s="143">
        <v>9055401.88</v>
      </c>
      <c r="I127" s="144">
        <v>51651.88</v>
      </c>
      <c r="J127" s="34">
        <f t="shared" si="6"/>
        <v>85.21528141909378</v>
      </c>
      <c r="K127" s="47">
        <f t="shared" si="7"/>
        <v>0.48606671999247164</v>
      </c>
      <c r="L127" s="45">
        <f t="shared" si="8"/>
        <v>7.587946709119072</v>
      </c>
      <c r="M127" s="46">
        <f t="shared" si="9"/>
        <v>0.043281537148720475</v>
      </c>
    </row>
    <row r="128" spans="1:13" ht="12.75">
      <c r="A128" s="122" t="s">
        <v>25</v>
      </c>
      <c r="B128" s="119" t="s">
        <v>15</v>
      </c>
      <c r="C128" s="126" t="s">
        <v>263</v>
      </c>
      <c r="D128" s="129">
        <v>47052</v>
      </c>
      <c r="E128" s="135">
        <v>38361314</v>
      </c>
      <c r="F128" s="132">
        <v>38361314</v>
      </c>
      <c r="G128" s="139">
        <f t="shared" si="5"/>
        <v>0</v>
      </c>
      <c r="H128" s="143">
        <v>0</v>
      </c>
      <c r="I128" s="144">
        <v>0</v>
      </c>
      <c r="J128" s="34">
        <f t="shared" si="6"/>
        <v>0</v>
      </c>
      <c r="K128" s="47">
        <f t="shared" si="7"/>
        <v>0</v>
      </c>
      <c r="L128" s="45">
        <f t="shared" si="8"/>
        <v>0</v>
      </c>
      <c r="M128" s="46">
        <f t="shared" si="9"/>
        <v>0</v>
      </c>
    </row>
    <row r="129" spans="1:13" ht="12.75">
      <c r="A129" s="122" t="s">
        <v>25</v>
      </c>
      <c r="B129" s="119" t="s">
        <v>139</v>
      </c>
      <c r="C129" s="126" t="s">
        <v>264</v>
      </c>
      <c r="D129" s="129">
        <v>78843</v>
      </c>
      <c r="E129" s="135">
        <v>68492463</v>
      </c>
      <c r="F129" s="132">
        <v>73250646</v>
      </c>
      <c r="G129" s="139">
        <f t="shared" si="5"/>
        <v>-4758183</v>
      </c>
      <c r="H129" s="143">
        <v>4983400</v>
      </c>
      <c r="I129" s="144">
        <v>0</v>
      </c>
      <c r="J129" s="34">
        <f t="shared" si="6"/>
        <v>63.20662582600865</v>
      </c>
      <c r="K129" s="47">
        <f t="shared" si="7"/>
        <v>0</v>
      </c>
      <c r="L129" s="45">
        <f t="shared" si="8"/>
        <v>7.275837050859158</v>
      </c>
      <c r="M129" s="46">
        <f t="shared" si="9"/>
        <v>0</v>
      </c>
    </row>
    <row r="130" spans="1:13" ht="12.75">
      <c r="A130" s="122" t="s">
        <v>25</v>
      </c>
      <c r="B130" s="119" t="s">
        <v>17</v>
      </c>
      <c r="C130" s="126" t="s">
        <v>265</v>
      </c>
      <c r="D130" s="129">
        <v>96564</v>
      </c>
      <c r="E130" s="135">
        <v>68821163</v>
      </c>
      <c r="F130" s="132">
        <v>74116591</v>
      </c>
      <c r="G130" s="139">
        <f t="shared" si="5"/>
        <v>-5295428</v>
      </c>
      <c r="H130" s="143">
        <v>15549213.25</v>
      </c>
      <c r="I130" s="144">
        <v>0</v>
      </c>
      <c r="J130" s="34">
        <f t="shared" si="6"/>
        <v>161.024949774243</v>
      </c>
      <c r="K130" s="47">
        <f t="shared" si="7"/>
        <v>0</v>
      </c>
      <c r="L130" s="45">
        <f t="shared" si="8"/>
        <v>22.593650807673797</v>
      </c>
      <c r="M130" s="46">
        <f t="shared" si="9"/>
        <v>0</v>
      </c>
    </row>
    <row r="131" spans="1:13" ht="12.75">
      <c r="A131" s="122" t="s">
        <v>25</v>
      </c>
      <c r="B131" s="119" t="s">
        <v>142</v>
      </c>
      <c r="C131" s="126" t="s">
        <v>266</v>
      </c>
      <c r="D131" s="129">
        <v>61576</v>
      </c>
      <c r="E131" s="135">
        <v>47452122.67</v>
      </c>
      <c r="F131" s="132">
        <v>49163213.67</v>
      </c>
      <c r="G131" s="139">
        <f t="shared" si="5"/>
        <v>-1711091</v>
      </c>
      <c r="H131" s="143">
        <v>6000000</v>
      </c>
      <c r="I131" s="144">
        <v>0</v>
      </c>
      <c r="J131" s="34">
        <f t="shared" si="6"/>
        <v>97.44056125763285</v>
      </c>
      <c r="K131" s="47">
        <f t="shared" si="7"/>
        <v>0</v>
      </c>
      <c r="L131" s="45">
        <f t="shared" si="8"/>
        <v>12.644323714928978</v>
      </c>
      <c r="M131" s="46">
        <f t="shared" si="9"/>
        <v>0</v>
      </c>
    </row>
    <row r="132" spans="1:13" ht="12.75">
      <c r="A132" s="122" t="s">
        <v>25</v>
      </c>
      <c r="B132" s="119" t="s">
        <v>19</v>
      </c>
      <c r="C132" s="126" t="s">
        <v>267</v>
      </c>
      <c r="D132" s="129">
        <v>97611</v>
      </c>
      <c r="E132" s="135">
        <v>55190739</v>
      </c>
      <c r="F132" s="132">
        <v>68690186</v>
      </c>
      <c r="G132" s="139">
        <f t="shared" si="5"/>
        <v>-13499447</v>
      </c>
      <c r="H132" s="143">
        <v>642600</v>
      </c>
      <c r="I132" s="144">
        <v>0</v>
      </c>
      <c r="J132" s="34">
        <f t="shared" si="6"/>
        <v>6.583274426038049</v>
      </c>
      <c r="K132" s="47">
        <f t="shared" si="7"/>
        <v>0</v>
      </c>
      <c r="L132" s="45">
        <f t="shared" si="8"/>
        <v>1.1643257757429195</v>
      </c>
      <c r="M132" s="46">
        <f t="shared" si="9"/>
        <v>0</v>
      </c>
    </row>
    <row r="133" spans="1:13" ht="12.75">
      <c r="A133" s="122" t="s">
        <v>25</v>
      </c>
      <c r="B133" s="119" t="s">
        <v>145</v>
      </c>
      <c r="C133" s="126" t="s">
        <v>268</v>
      </c>
      <c r="D133" s="129">
        <v>36610</v>
      </c>
      <c r="E133" s="135">
        <v>38505811</v>
      </c>
      <c r="F133" s="132">
        <v>41219722</v>
      </c>
      <c r="G133" s="139">
        <f t="shared" si="5"/>
        <v>-2713911</v>
      </c>
      <c r="H133" s="143">
        <v>585112.5</v>
      </c>
      <c r="I133" s="144">
        <v>697.5</v>
      </c>
      <c r="J133" s="34">
        <f t="shared" si="6"/>
        <v>15.982313575525813</v>
      </c>
      <c r="K133" s="47">
        <f t="shared" si="7"/>
        <v>0.019052171537831192</v>
      </c>
      <c r="L133" s="45">
        <f t="shared" si="8"/>
        <v>1.5195433748947658</v>
      </c>
      <c r="M133" s="46">
        <f t="shared" si="9"/>
        <v>0.0018114149056619013</v>
      </c>
    </row>
    <row r="134" spans="1:13" ht="12.75">
      <c r="A134" s="122" t="s">
        <v>25</v>
      </c>
      <c r="B134" s="119" t="s">
        <v>21</v>
      </c>
      <c r="C134" s="126" t="s">
        <v>269</v>
      </c>
      <c r="D134" s="129">
        <v>32574</v>
      </c>
      <c r="E134" s="135">
        <v>24618069</v>
      </c>
      <c r="F134" s="132">
        <v>24642453</v>
      </c>
      <c r="G134" s="139">
        <f t="shared" si="5"/>
        <v>-24384</v>
      </c>
      <c r="H134" s="143">
        <v>1972833.72</v>
      </c>
      <c r="I134" s="144">
        <v>0</v>
      </c>
      <c r="J134" s="34">
        <f t="shared" si="6"/>
        <v>60.56467489408731</v>
      </c>
      <c r="K134" s="47">
        <f t="shared" si="7"/>
        <v>0</v>
      </c>
      <c r="L134" s="45">
        <f t="shared" si="8"/>
        <v>8.013763061595123</v>
      </c>
      <c r="M134" s="46">
        <f t="shared" si="9"/>
        <v>0</v>
      </c>
    </row>
    <row r="135" spans="1:13" ht="12.75">
      <c r="A135" s="122" t="s">
        <v>25</v>
      </c>
      <c r="B135" s="119" t="s">
        <v>148</v>
      </c>
      <c r="C135" s="126" t="s">
        <v>270</v>
      </c>
      <c r="D135" s="129">
        <v>46449</v>
      </c>
      <c r="E135" s="135">
        <v>37501462</v>
      </c>
      <c r="F135" s="132">
        <v>38372512</v>
      </c>
      <c r="G135" s="139">
        <f t="shared" si="5"/>
        <v>-871050</v>
      </c>
      <c r="H135" s="143">
        <v>2121838.9</v>
      </c>
      <c r="I135" s="144">
        <v>0</v>
      </c>
      <c r="J135" s="34">
        <f t="shared" si="6"/>
        <v>45.68104587827509</v>
      </c>
      <c r="K135" s="47">
        <f t="shared" si="7"/>
        <v>0</v>
      </c>
      <c r="L135" s="45">
        <f t="shared" si="8"/>
        <v>5.6580164794641865</v>
      </c>
      <c r="M135" s="46">
        <f t="shared" si="9"/>
        <v>0</v>
      </c>
    </row>
    <row r="136" spans="1:13" ht="12.75">
      <c r="A136" s="122" t="s">
        <v>25</v>
      </c>
      <c r="B136" s="119" t="s">
        <v>23</v>
      </c>
      <c r="C136" s="126" t="s">
        <v>271</v>
      </c>
      <c r="D136" s="129">
        <v>141306</v>
      </c>
      <c r="E136" s="135">
        <v>86900808</v>
      </c>
      <c r="F136" s="132">
        <v>94780154</v>
      </c>
      <c r="G136" s="139">
        <f aca="true" t="shared" si="10" ref="G136:G199">E136-F136</f>
        <v>-7879346</v>
      </c>
      <c r="H136" s="143">
        <v>787583.8</v>
      </c>
      <c r="I136" s="144">
        <v>0</v>
      </c>
      <c r="J136" s="34">
        <f aca="true" t="shared" si="11" ref="J136:J199">H136/D136</f>
        <v>5.573604800928482</v>
      </c>
      <c r="K136" s="47">
        <f aca="true" t="shared" si="12" ref="K136:K199">I136/D136</f>
        <v>0</v>
      </c>
      <c r="L136" s="45">
        <f aca="true" t="shared" si="13" ref="L136:L199">H136/E136*100</f>
        <v>0.9063020449706292</v>
      </c>
      <c r="M136" s="46">
        <f aca="true" t="shared" si="14" ref="M136:M199">I136/E136*100</f>
        <v>0</v>
      </c>
    </row>
    <row r="137" spans="1:13" ht="12.75">
      <c r="A137" s="122" t="s">
        <v>25</v>
      </c>
      <c r="B137" s="119" t="s">
        <v>151</v>
      </c>
      <c r="C137" s="126" t="s">
        <v>272</v>
      </c>
      <c r="D137" s="129">
        <v>73294</v>
      </c>
      <c r="E137" s="135">
        <v>53572267.48</v>
      </c>
      <c r="F137" s="132">
        <v>53827716.87999998</v>
      </c>
      <c r="G137" s="139">
        <f t="shared" si="10"/>
        <v>-255449.3999999836</v>
      </c>
      <c r="H137" s="143">
        <v>5153053.94</v>
      </c>
      <c r="I137" s="144">
        <v>0</v>
      </c>
      <c r="J137" s="34">
        <f t="shared" si="11"/>
        <v>70.30662728190576</v>
      </c>
      <c r="K137" s="47">
        <f t="shared" si="12"/>
        <v>0</v>
      </c>
      <c r="L137" s="45">
        <f t="shared" si="13"/>
        <v>9.618883393210446</v>
      </c>
      <c r="M137" s="46">
        <f t="shared" si="14"/>
        <v>0</v>
      </c>
    </row>
    <row r="138" spans="1:13" ht="12.75">
      <c r="A138" s="122" t="s">
        <v>25</v>
      </c>
      <c r="B138" s="119" t="s">
        <v>25</v>
      </c>
      <c r="C138" s="126" t="s">
        <v>273</v>
      </c>
      <c r="D138" s="129">
        <v>75783</v>
      </c>
      <c r="E138" s="135">
        <v>40631236.68</v>
      </c>
      <c r="F138" s="132">
        <v>41527044.68</v>
      </c>
      <c r="G138" s="139">
        <f t="shared" si="10"/>
        <v>-895808</v>
      </c>
      <c r="H138" s="143">
        <v>0</v>
      </c>
      <c r="I138" s="144">
        <v>0</v>
      </c>
      <c r="J138" s="34">
        <f t="shared" si="11"/>
        <v>0</v>
      </c>
      <c r="K138" s="47">
        <f t="shared" si="12"/>
        <v>0</v>
      </c>
      <c r="L138" s="45">
        <f t="shared" si="13"/>
        <v>0</v>
      </c>
      <c r="M138" s="46">
        <f t="shared" si="14"/>
        <v>0</v>
      </c>
    </row>
    <row r="139" spans="1:13" ht="12.75">
      <c r="A139" s="122" t="s">
        <v>25</v>
      </c>
      <c r="B139" s="119" t="s">
        <v>154</v>
      </c>
      <c r="C139" s="126" t="s">
        <v>274</v>
      </c>
      <c r="D139" s="129">
        <v>84434</v>
      </c>
      <c r="E139" s="135">
        <v>47642938</v>
      </c>
      <c r="F139" s="132">
        <v>48718391</v>
      </c>
      <c r="G139" s="139">
        <f t="shared" si="10"/>
        <v>-1075453</v>
      </c>
      <c r="H139" s="143">
        <v>8999603.91</v>
      </c>
      <c r="I139" s="144">
        <v>0</v>
      </c>
      <c r="J139" s="34">
        <f t="shared" si="11"/>
        <v>106.58744001231732</v>
      </c>
      <c r="K139" s="47">
        <f t="shared" si="12"/>
        <v>0</v>
      </c>
      <c r="L139" s="45">
        <f t="shared" si="13"/>
        <v>18.88969129065886</v>
      </c>
      <c r="M139" s="46">
        <f t="shared" si="14"/>
        <v>0</v>
      </c>
    </row>
    <row r="140" spans="1:13" ht="12.75">
      <c r="A140" s="122" t="s">
        <v>25</v>
      </c>
      <c r="B140" s="119" t="s">
        <v>27</v>
      </c>
      <c r="C140" s="126" t="s">
        <v>275</v>
      </c>
      <c r="D140" s="129">
        <v>74966</v>
      </c>
      <c r="E140" s="135">
        <v>47265309</v>
      </c>
      <c r="F140" s="132">
        <v>48423293</v>
      </c>
      <c r="G140" s="139">
        <f t="shared" si="10"/>
        <v>-1157984</v>
      </c>
      <c r="H140" s="143">
        <v>1891995.87</v>
      </c>
      <c r="I140" s="144">
        <v>676.05</v>
      </c>
      <c r="J140" s="34">
        <f t="shared" si="11"/>
        <v>25.238052850625618</v>
      </c>
      <c r="K140" s="47">
        <f t="shared" si="12"/>
        <v>0.009018088199983992</v>
      </c>
      <c r="L140" s="45">
        <f t="shared" si="13"/>
        <v>4.002927115106769</v>
      </c>
      <c r="M140" s="46">
        <f t="shared" si="14"/>
        <v>0.0014303302238011391</v>
      </c>
    </row>
    <row r="141" spans="1:13" ht="12.75">
      <c r="A141" s="122" t="s">
        <v>25</v>
      </c>
      <c r="B141" s="119" t="s">
        <v>157</v>
      </c>
      <c r="C141" s="126" t="s">
        <v>276</v>
      </c>
      <c r="D141" s="129">
        <v>116576</v>
      </c>
      <c r="E141" s="135">
        <v>84709326</v>
      </c>
      <c r="F141" s="132">
        <v>88527245</v>
      </c>
      <c r="G141" s="139">
        <f t="shared" si="10"/>
        <v>-3817919</v>
      </c>
      <c r="H141" s="143">
        <v>15247989.8</v>
      </c>
      <c r="I141" s="144">
        <v>195319.77</v>
      </c>
      <c r="J141" s="34">
        <f t="shared" si="11"/>
        <v>130.79870470765852</v>
      </c>
      <c r="K141" s="47">
        <f t="shared" si="12"/>
        <v>1.6754715378808673</v>
      </c>
      <c r="L141" s="45">
        <f t="shared" si="13"/>
        <v>18.000367279513004</v>
      </c>
      <c r="M141" s="46">
        <f t="shared" si="14"/>
        <v>0.2305764656892678</v>
      </c>
    </row>
    <row r="142" spans="1:13" ht="12.75">
      <c r="A142" s="122" t="s">
        <v>25</v>
      </c>
      <c r="B142" s="119" t="s">
        <v>29</v>
      </c>
      <c r="C142" s="126" t="s">
        <v>277</v>
      </c>
      <c r="D142" s="129">
        <v>147047</v>
      </c>
      <c r="E142" s="135">
        <v>144914233</v>
      </c>
      <c r="F142" s="132">
        <v>183552416</v>
      </c>
      <c r="G142" s="139">
        <f t="shared" si="10"/>
        <v>-38638183</v>
      </c>
      <c r="H142" s="143">
        <v>22300500</v>
      </c>
      <c r="I142" s="144">
        <v>99000</v>
      </c>
      <c r="J142" s="34">
        <f t="shared" si="11"/>
        <v>151.655593109686</v>
      </c>
      <c r="K142" s="47">
        <f t="shared" si="12"/>
        <v>0.6732541296320225</v>
      </c>
      <c r="L142" s="45">
        <f t="shared" si="13"/>
        <v>15.388757569451442</v>
      </c>
      <c r="M142" s="46">
        <f t="shared" si="14"/>
        <v>0.06831627090763404</v>
      </c>
    </row>
    <row r="143" spans="1:13" ht="12.75">
      <c r="A143" s="122" t="s">
        <v>25</v>
      </c>
      <c r="B143" s="119" t="s">
        <v>160</v>
      </c>
      <c r="C143" s="126" t="s">
        <v>278</v>
      </c>
      <c r="D143" s="129">
        <v>106621</v>
      </c>
      <c r="E143" s="135">
        <v>64212737</v>
      </c>
      <c r="F143" s="132">
        <v>64339112</v>
      </c>
      <c r="G143" s="139">
        <f t="shared" si="10"/>
        <v>-126375</v>
      </c>
      <c r="H143" s="143">
        <v>17071070</v>
      </c>
      <c r="I143" s="144">
        <v>0</v>
      </c>
      <c r="J143" s="34">
        <f t="shared" si="11"/>
        <v>160.10982827022818</v>
      </c>
      <c r="K143" s="47">
        <f t="shared" si="12"/>
        <v>0</v>
      </c>
      <c r="L143" s="45">
        <f t="shared" si="13"/>
        <v>26.585177330161148</v>
      </c>
      <c r="M143" s="46">
        <f t="shared" si="14"/>
        <v>0</v>
      </c>
    </row>
    <row r="144" spans="1:13" ht="12.75">
      <c r="A144" s="122" t="s">
        <v>25</v>
      </c>
      <c r="B144" s="119" t="s">
        <v>31</v>
      </c>
      <c r="C144" s="126" t="s">
        <v>279</v>
      </c>
      <c r="D144" s="129">
        <v>87497</v>
      </c>
      <c r="E144" s="135">
        <v>63041269</v>
      </c>
      <c r="F144" s="132">
        <v>64822974</v>
      </c>
      <c r="G144" s="139">
        <f t="shared" si="10"/>
        <v>-1781705</v>
      </c>
      <c r="H144" s="143">
        <v>6092405.3</v>
      </c>
      <c r="I144" s="144">
        <v>0</v>
      </c>
      <c r="J144" s="34">
        <f t="shared" si="11"/>
        <v>69.62987645290696</v>
      </c>
      <c r="K144" s="47">
        <f t="shared" si="12"/>
        <v>0</v>
      </c>
      <c r="L144" s="45">
        <f t="shared" si="13"/>
        <v>9.664153968728009</v>
      </c>
      <c r="M144" s="46">
        <f t="shared" si="14"/>
        <v>0</v>
      </c>
    </row>
    <row r="145" spans="1:13" ht="12.75">
      <c r="A145" s="122" t="s">
        <v>25</v>
      </c>
      <c r="B145" s="119" t="s">
        <v>163</v>
      </c>
      <c r="C145" s="126" t="s">
        <v>280</v>
      </c>
      <c r="D145" s="129">
        <v>146207</v>
      </c>
      <c r="E145" s="135">
        <v>98858804</v>
      </c>
      <c r="F145" s="132">
        <v>112895740</v>
      </c>
      <c r="G145" s="139">
        <f t="shared" si="10"/>
        <v>-14036936</v>
      </c>
      <c r="H145" s="143">
        <v>7080000</v>
      </c>
      <c r="I145" s="144">
        <v>0</v>
      </c>
      <c r="J145" s="34">
        <f t="shared" si="11"/>
        <v>48.424494039273085</v>
      </c>
      <c r="K145" s="47">
        <f t="shared" si="12"/>
        <v>0</v>
      </c>
      <c r="L145" s="45">
        <f t="shared" si="13"/>
        <v>7.16172936909089</v>
      </c>
      <c r="M145" s="46">
        <f t="shared" si="14"/>
        <v>0</v>
      </c>
    </row>
    <row r="146" spans="1:13" ht="12.75">
      <c r="A146" s="122" t="s">
        <v>25</v>
      </c>
      <c r="B146" s="119" t="s">
        <v>33</v>
      </c>
      <c r="C146" s="126" t="s">
        <v>281</v>
      </c>
      <c r="D146" s="129">
        <v>52910</v>
      </c>
      <c r="E146" s="135">
        <v>85297083</v>
      </c>
      <c r="F146" s="132">
        <v>91028493</v>
      </c>
      <c r="G146" s="139">
        <f t="shared" si="10"/>
        <v>-5731410</v>
      </c>
      <c r="H146" s="143">
        <v>204910.34</v>
      </c>
      <c r="I146" s="144">
        <v>0</v>
      </c>
      <c r="J146" s="34">
        <f t="shared" si="11"/>
        <v>3.872809298809299</v>
      </c>
      <c r="K146" s="47">
        <f t="shared" si="12"/>
        <v>0</v>
      </c>
      <c r="L146" s="45">
        <f t="shared" si="13"/>
        <v>0.2402313570324556</v>
      </c>
      <c r="M146" s="46">
        <f t="shared" si="14"/>
        <v>0</v>
      </c>
    </row>
    <row r="147" spans="1:13" ht="12.75">
      <c r="A147" s="122" t="s">
        <v>25</v>
      </c>
      <c r="B147" s="119" t="s">
        <v>166</v>
      </c>
      <c r="C147" s="126" t="s">
        <v>282</v>
      </c>
      <c r="D147" s="129">
        <v>43731</v>
      </c>
      <c r="E147" s="135">
        <v>56614119</v>
      </c>
      <c r="F147" s="132">
        <v>57244861</v>
      </c>
      <c r="G147" s="139">
        <f t="shared" si="10"/>
        <v>-630742</v>
      </c>
      <c r="H147" s="143">
        <v>6864920.1</v>
      </c>
      <c r="I147" s="144">
        <v>0</v>
      </c>
      <c r="J147" s="34">
        <f t="shared" si="11"/>
        <v>156.98063387528296</v>
      </c>
      <c r="K147" s="47">
        <f t="shared" si="12"/>
        <v>0</v>
      </c>
      <c r="L147" s="45">
        <f t="shared" si="13"/>
        <v>12.125809287962248</v>
      </c>
      <c r="M147" s="46">
        <f t="shared" si="14"/>
        <v>0</v>
      </c>
    </row>
    <row r="148" spans="1:13" ht="12.75">
      <c r="A148" s="122" t="s">
        <v>25</v>
      </c>
      <c r="B148" s="119" t="s">
        <v>35</v>
      </c>
      <c r="C148" s="126" t="s">
        <v>283</v>
      </c>
      <c r="D148" s="129">
        <v>51030</v>
      </c>
      <c r="E148" s="135">
        <v>63315195</v>
      </c>
      <c r="F148" s="132">
        <v>68081981</v>
      </c>
      <c r="G148" s="139">
        <f t="shared" si="10"/>
        <v>-4766786</v>
      </c>
      <c r="H148" s="143">
        <v>8243849.54</v>
      </c>
      <c r="I148" s="144">
        <v>0</v>
      </c>
      <c r="J148" s="34">
        <f t="shared" si="11"/>
        <v>161.54907975700567</v>
      </c>
      <c r="K148" s="47">
        <f t="shared" si="12"/>
        <v>0</v>
      </c>
      <c r="L148" s="45">
        <f t="shared" si="13"/>
        <v>13.020333491826094</v>
      </c>
      <c r="M148" s="46">
        <f t="shared" si="14"/>
        <v>0</v>
      </c>
    </row>
    <row r="149" spans="1:13" ht="12.75">
      <c r="A149" s="122" t="s">
        <v>25</v>
      </c>
      <c r="B149" s="119" t="s">
        <v>169</v>
      </c>
      <c r="C149" s="126" t="s">
        <v>284</v>
      </c>
      <c r="D149" s="129">
        <v>145389</v>
      </c>
      <c r="E149" s="135">
        <v>77334125</v>
      </c>
      <c r="F149" s="132">
        <v>78511579</v>
      </c>
      <c r="G149" s="139">
        <f t="shared" si="10"/>
        <v>-1177454</v>
      </c>
      <c r="H149" s="143">
        <v>4442501.9</v>
      </c>
      <c r="I149" s="144">
        <v>0</v>
      </c>
      <c r="J149" s="34">
        <f t="shared" si="11"/>
        <v>30.555969846412044</v>
      </c>
      <c r="K149" s="47">
        <f t="shared" si="12"/>
        <v>0</v>
      </c>
      <c r="L149" s="45">
        <f t="shared" si="13"/>
        <v>5.7445557184490035</v>
      </c>
      <c r="M149" s="46">
        <f t="shared" si="14"/>
        <v>0</v>
      </c>
    </row>
    <row r="150" spans="1:13" ht="12.75">
      <c r="A150" s="122" t="s">
        <v>25</v>
      </c>
      <c r="B150" s="119" t="s">
        <v>37</v>
      </c>
      <c r="C150" s="126" t="s">
        <v>285</v>
      </c>
      <c r="D150" s="129">
        <v>80516</v>
      </c>
      <c r="E150" s="135">
        <v>29427620</v>
      </c>
      <c r="F150" s="132">
        <v>30711544</v>
      </c>
      <c r="G150" s="139">
        <f t="shared" si="10"/>
        <v>-1283924</v>
      </c>
      <c r="H150" s="143">
        <v>0</v>
      </c>
      <c r="I150" s="144">
        <v>0</v>
      </c>
      <c r="J150" s="34">
        <f t="shared" si="11"/>
        <v>0</v>
      </c>
      <c r="K150" s="47">
        <f t="shared" si="12"/>
        <v>0</v>
      </c>
      <c r="L150" s="45">
        <f t="shared" si="13"/>
        <v>0</v>
      </c>
      <c r="M150" s="46">
        <f t="shared" si="14"/>
        <v>0</v>
      </c>
    </row>
    <row r="151" spans="1:13" ht="12.75">
      <c r="A151" s="122" t="s">
        <v>25</v>
      </c>
      <c r="B151" s="119" t="s">
        <v>286</v>
      </c>
      <c r="C151" s="126" t="s">
        <v>287</v>
      </c>
      <c r="D151" s="129">
        <v>53756</v>
      </c>
      <c r="E151" s="135">
        <v>37371531</v>
      </c>
      <c r="F151" s="132">
        <v>42471531</v>
      </c>
      <c r="G151" s="139">
        <f t="shared" si="10"/>
        <v>-5100000</v>
      </c>
      <c r="H151" s="143">
        <v>4616500</v>
      </c>
      <c r="I151" s="144">
        <v>0</v>
      </c>
      <c r="J151" s="34">
        <f t="shared" si="11"/>
        <v>85.87878562393036</v>
      </c>
      <c r="K151" s="47">
        <f t="shared" si="12"/>
        <v>0</v>
      </c>
      <c r="L151" s="45">
        <f t="shared" si="13"/>
        <v>12.352986020294432</v>
      </c>
      <c r="M151" s="46">
        <f t="shared" si="14"/>
        <v>0</v>
      </c>
    </row>
    <row r="152" spans="1:13" ht="12.75">
      <c r="A152" s="122" t="s">
        <v>25</v>
      </c>
      <c r="B152" s="119" t="s">
        <v>39</v>
      </c>
      <c r="C152" s="126" t="s">
        <v>288</v>
      </c>
      <c r="D152" s="129">
        <v>83485</v>
      </c>
      <c r="E152" s="135">
        <v>59403656</v>
      </c>
      <c r="F152" s="132">
        <v>61513400</v>
      </c>
      <c r="G152" s="139">
        <f t="shared" si="10"/>
        <v>-2109744</v>
      </c>
      <c r="H152" s="143">
        <v>8884544.37</v>
      </c>
      <c r="I152" s="144">
        <v>0</v>
      </c>
      <c r="J152" s="34">
        <f t="shared" si="11"/>
        <v>106.42084649937114</v>
      </c>
      <c r="K152" s="47">
        <f t="shared" si="12"/>
        <v>0</v>
      </c>
      <c r="L152" s="45">
        <f t="shared" si="13"/>
        <v>14.956224866025082</v>
      </c>
      <c r="M152" s="46">
        <f t="shared" si="14"/>
        <v>0</v>
      </c>
    </row>
    <row r="153" spans="1:13" ht="12.75">
      <c r="A153" s="122" t="s">
        <v>25</v>
      </c>
      <c r="B153" s="119" t="s">
        <v>289</v>
      </c>
      <c r="C153" s="126" t="s">
        <v>290</v>
      </c>
      <c r="D153" s="129">
        <v>56766</v>
      </c>
      <c r="E153" s="135">
        <v>45777128</v>
      </c>
      <c r="F153" s="132">
        <v>48287743</v>
      </c>
      <c r="G153" s="139">
        <f t="shared" si="10"/>
        <v>-2510615</v>
      </c>
      <c r="H153" s="143">
        <v>11916842.71</v>
      </c>
      <c r="I153" s="144">
        <v>2200</v>
      </c>
      <c r="J153" s="34">
        <f t="shared" si="11"/>
        <v>209.92923070147626</v>
      </c>
      <c r="K153" s="47">
        <f t="shared" si="12"/>
        <v>0.03875559313673678</v>
      </c>
      <c r="L153" s="45">
        <f t="shared" si="13"/>
        <v>26.032307465859372</v>
      </c>
      <c r="M153" s="46">
        <f t="shared" si="14"/>
        <v>0.00480589345841006</v>
      </c>
    </row>
    <row r="154" spans="1:13" ht="12.75">
      <c r="A154" s="122" t="s">
        <v>25</v>
      </c>
      <c r="B154" s="119" t="s">
        <v>41</v>
      </c>
      <c r="C154" s="126" t="s">
        <v>291</v>
      </c>
      <c r="D154" s="129">
        <v>40073</v>
      </c>
      <c r="E154" s="135">
        <v>25863123</v>
      </c>
      <c r="F154" s="132">
        <v>27535291</v>
      </c>
      <c r="G154" s="139">
        <f t="shared" si="10"/>
        <v>-1672168</v>
      </c>
      <c r="H154" s="143">
        <v>1007149.84</v>
      </c>
      <c r="I154" s="144">
        <v>10000</v>
      </c>
      <c r="J154" s="34">
        <f t="shared" si="11"/>
        <v>25.13287849674344</v>
      </c>
      <c r="K154" s="47">
        <f t="shared" si="12"/>
        <v>0.24954458113942055</v>
      </c>
      <c r="L154" s="45">
        <f t="shared" si="13"/>
        <v>3.8941540045260585</v>
      </c>
      <c r="M154" s="46">
        <f t="shared" si="14"/>
        <v>0.03866509083222471</v>
      </c>
    </row>
    <row r="155" spans="1:13" ht="12.75">
      <c r="A155" s="122" t="s">
        <v>25</v>
      </c>
      <c r="B155" s="119" t="s">
        <v>43</v>
      </c>
      <c r="C155" s="126" t="s">
        <v>292</v>
      </c>
      <c r="D155" s="129">
        <v>101530</v>
      </c>
      <c r="E155" s="135">
        <v>90277764</v>
      </c>
      <c r="F155" s="132">
        <v>106566591</v>
      </c>
      <c r="G155" s="139">
        <f t="shared" si="10"/>
        <v>-16288827</v>
      </c>
      <c r="H155" s="143">
        <v>2335946</v>
      </c>
      <c r="I155" s="144">
        <v>26</v>
      </c>
      <c r="J155" s="34">
        <f t="shared" si="11"/>
        <v>23.00744607505171</v>
      </c>
      <c r="K155" s="47">
        <f t="shared" si="12"/>
        <v>0.00025608194622279127</v>
      </c>
      <c r="L155" s="45">
        <f t="shared" si="13"/>
        <v>2.58750981027842</v>
      </c>
      <c r="M155" s="46">
        <f t="shared" si="14"/>
        <v>2.8800004395323747E-05</v>
      </c>
    </row>
    <row r="156" spans="1:13" ht="12.75">
      <c r="A156" s="122" t="s">
        <v>25</v>
      </c>
      <c r="B156" s="119" t="s">
        <v>293</v>
      </c>
      <c r="C156" s="126" t="s">
        <v>294</v>
      </c>
      <c r="D156" s="129">
        <v>67679</v>
      </c>
      <c r="E156" s="135">
        <v>66781074</v>
      </c>
      <c r="F156" s="132">
        <v>71814949</v>
      </c>
      <c r="G156" s="139">
        <f t="shared" si="10"/>
        <v>-5033875</v>
      </c>
      <c r="H156" s="143">
        <v>13681069.85</v>
      </c>
      <c r="I156" s="144">
        <v>0</v>
      </c>
      <c r="J156" s="34">
        <f t="shared" si="11"/>
        <v>202.14645384831334</v>
      </c>
      <c r="K156" s="47">
        <f t="shared" si="12"/>
        <v>0</v>
      </c>
      <c r="L156" s="45">
        <f t="shared" si="13"/>
        <v>20.486447777105234</v>
      </c>
      <c r="M156" s="46">
        <f t="shared" si="14"/>
        <v>0</v>
      </c>
    </row>
    <row r="157" spans="1:13" ht="12.75">
      <c r="A157" s="122" t="s">
        <v>25</v>
      </c>
      <c r="B157" s="119" t="s">
        <v>295</v>
      </c>
      <c r="C157" s="126" t="s">
        <v>296</v>
      </c>
      <c r="D157" s="129">
        <v>203749</v>
      </c>
      <c r="E157" s="135">
        <v>102317504</v>
      </c>
      <c r="F157" s="132">
        <v>109701833</v>
      </c>
      <c r="G157" s="139">
        <f t="shared" si="10"/>
        <v>-7384329</v>
      </c>
      <c r="H157" s="143">
        <v>14972807.26</v>
      </c>
      <c r="I157" s="144">
        <v>2275.21</v>
      </c>
      <c r="J157" s="34">
        <f t="shared" si="11"/>
        <v>73.48653127131912</v>
      </c>
      <c r="K157" s="47">
        <f t="shared" si="12"/>
        <v>0.011166729652660872</v>
      </c>
      <c r="L157" s="45">
        <f t="shared" si="13"/>
        <v>14.633671341318099</v>
      </c>
      <c r="M157" s="46">
        <f t="shared" si="14"/>
        <v>0.0022236762147755285</v>
      </c>
    </row>
    <row r="158" spans="1:13" ht="12.75">
      <c r="A158" s="122" t="s">
        <v>25</v>
      </c>
      <c r="B158" s="119" t="s">
        <v>297</v>
      </c>
      <c r="C158" s="126" t="s">
        <v>298</v>
      </c>
      <c r="D158" s="129">
        <v>71747</v>
      </c>
      <c r="E158" s="135">
        <v>59270792</v>
      </c>
      <c r="F158" s="132">
        <v>64207541</v>
      </c>
      <c r="G158" s="139">
        <f t="shared" si="10"/>
        <v>-4936749</v>
      </c>
      <c r="H158" s="143">
        <v>4780509.75</v>
      </c>
      <c r="I158" s="144">
        <v>0</v>
      </c>
      <c r="J158" s="34">
        <f t="shared" si="11"/>
        <v>66.63009951635608</v>
      </c>
      <c r="K158" s="47">
        <f t="shared" si="12"/>
        <v>0</v>
      </c>
      <c r="L158" s="45">
        <f t="shared" si="13"/>
        <v>8.065540527955152</v>
      </c>
      <c r="M158" s="46">
        <f t="shared" si="14"/>
        <v>0</v>
      </c>
    </row>
    <row r="159" spans="1:13" ht="12.75">
      <c r="A159" s="122" t="s">
        <v>25</v>
      </c>
      <c r="B159" s="119" t="s">
        <v>299</v>
      </c>
      <c r="C159" s="126" t="s">
        <v>300</v>
      </c>
      <c r="D159" s="129">
        <v>37133</v>
      </c>
      <c r="E159" s="135">
        <v>29616463</v>
      </c>
      <c r="F159" s="132">
        <v>32019696</v>
      </c>
      <c r="G159" s="139">
        <f t="shared" si="10"/>
        <v>-2403233</v>
      </c>
      <c r="H159" s="143">
        <v>2072992.01</v>
      </c>
      <c r="I159" s="144">
        <v>0</v>
      </c>
      <c r="J159" s="34">
        <f t="shared" si="11"/>
        <v>55.82613874451297</v>
      </c>
      <c r="K159" s="47">
        <f t="shared" si="12"/>
        <v>0</v>
      </c>
      <c r="L159" s="45">
        <f t="shared" si="13"/>
        <v>6.999458409331323</v>
      </c>
      <c r="M159" s="46">
        <f t="shared" si="14"/>
        <v>0</v>
      </c>
    </row>
    <row r="160" spans="1:13" ht="12.75">
      <c r="A160" s="122" t="s">
        <v>25</v>
      </c>
      <c r="B160" s="119" t="s">
        <v>301</v>
      </c>
      <c r="C160" s="126" t="s">
        <v>302</v>
      </c>
      <c r="D160" s="129">
        <v>40075</v>
      </c>
      <c r="E160" s="135">
        <v>30838847</v>
      </c>
      <c r="F160" s="132">
        <v>31559296</v>
      </c>
      <c r="G160" s="139">
        <f t="shared" si="10"/>
        <v>-720449</v>
      </c>
      <c r="H160" s="143">
        <v>597450</v>
      </c>
      <c r="I160" s="144">
        <v>0</v>
      </c>
      <c r="J160" s="34">
        <f t="shared" si="11"/>
        <v>14.908296943231441</v>
      </c>
      <c r="K160" s="47">
        <f t="shared" si="12"/>
        <v>0</v>
      </c>
      <c r="L160" s="45">
        <f t="shared" si="13"/>
        <v>1.9373292393194856</v>
      </c>
      <c r="M160" s="46">
        <f t="shared" si="14"/>
        <v>0</v>
      </c>
    </row>
    <row r="161" spans="1:13" ht="12.75">
      <c r="A161" s="122" t="s">
        <v>25</v>
      </c>
      <c r="B161" s="119" t="s">
        <v>303</v>
      </c>
      <c r="C161" s="126" t="s">
        <v>304</v>
      </c>
      <c r="D161" s="129">
        <v>74619</v>
      </c>
      <c r="E161" s="135">
        <v>47516559</v>
      </c>
      <c r="F161" s="132">
        <v>54179217</v>
      </c>
      <c r="G161" s="139">
        <f t="shared" si="10"/>
        <v>-6662658</v>
      </c>
      <c r="H161" s="143">
        <v>16195441</v>
      </c>
      <c r="I161" s="144">
        <v>0</v>
      </c>
      <c r="J161" s="34">
        <f t="shared" si="11"/>
        <v>217.0417856042027</v>
      </c>
      <c r="K161" s="47">
        <f t="shared" si="12"/>
        <v>0</v>
      </c>
      <c r="L161" s="45">
        <f t="shared" si="13"/>
        <v>34.08378329752371</v>
      </c>
      <c r="M161" s="46">
        <f t="shared" si="14"/>
        <v>0</v>
      </c>
    </row>
    <row r="162" spans="1:13" ht="12.75">
      <c r="A162" s="122" t="s">
        <v>27</v>
      </c>
      <c r="B162" s="119" t="s">
        <v>133</v>
      </c>
      <c r="C162" s="126" t="s">
        <v>242</v>
      </c>
      <c r="D162" s="129">
        <v>92261</v>
      </c>
      <c r="E162" s="135">
        <v>67507603</v>
      </c>
      <c r="F162" s="132">
        <v>70813590</v>
      </c>
      <c r="G162" s="139">
        <f t="shared" si="10"/>
        <v>-3305987</v>
      </c>
      <c r="H162" s="143">
        <v>3144741.65</v>
      </c>
      <c r="I162" s="144">
        <v>0</v>
      </c>
      <c r="J162" s="34">
        <f t="shared" si="11"/>
        <v>34.08527601044862</v>
      </c>
      <c r="K162" s="47">
        <f t="shared" si="12"/>
        <v>0</v>
      </c>
      <c r="L162" s="45">
        <f t="shared" si="13"/>
        <v>4.658351815572536</v>
      </c>
      <c r="M162" s="46">
        <f t="shared" si="14"/>
        <v>0</v>
      </c>
    </row>
    <row r="163" spans="1:13" ht="12.75">
      <c r="A163" s="122" t="s">
        <v>27</v>
      </c>
      <c r="B163" s="119" t="s">
        <v>13</v>
      </c>
      <c r="C163" s="126" t="s">
        <v>305</v>
      </c>
      <c r="D163" s="129">
        <v>50146</v>
      </c>
      <c r="E163" s="135">
        <v>40249387</v>
      </c>
      <c r="F163" s="132">
        <v>39819868</v>
      </c>
      <c r="G163" s="139">
        <f t="shared" si="10"/>
        <v>429519</v>
      </c>
      <c r="H163" s="143">
        <v>9189910.81</v>
      </c>
      <c r="I163" s="144">
        <v>0</v>
      </c>
      <c r="J163" s="34">
        <f t="shared" si="11"/>
        <v>183.26308798308938</v>
      </c>
      <c r="K163" s="47">
        <f t="shared" si="12"/>
        <v>0</v>
      </c>
      <c r="L163" s="45">
        <f t="shared" si="13"/>
        <v>22.83242428015115</v>
      </c>
      <c r="M163" s="46">
        <f t="shared" si="14"/>
        <v>0</v>
      </c>
    </row>
    <row r="164" spans="1:13" ht="12.75">
      <c r="A164" s="122" t="s">
        <v>27</v>
      </c>
      <c r="B164" s="119" t="s">
        <v>136</v>
      </c>
      <c r="C164" s="126" t="s">
        <v>306</v>
      </c>
      <c r="D164" s="129">
        <v>101924</v>
      </c>
      <c r="E164" s="135">
        <v>66304343</v>
      </c>
      <c r="F164" s="132">
        <v>74896044</v>
      </c>
      <c r="G164" s="139">
        <f t="shared" si="10"/>
        <v>-8591701</v>
      </c>
      <c r="H164" s="143">
        <v>1881985</v>
      </c>
      <c r="I164" s="144">
        <v>22899</v>
      </c>
      <c r="J164" s="34">
        <f t="shared" si="11"/>
        <v>18.464591264079118</v>
      </c>
      <c r="K164" s="47">
        <f t="shared" si="12"/>
        <v>0.2246673992386484</v>
      </c>
      <c r="L164" s="45">
        <f t="shared" si="13"/>
        <v>2.8384038131559497</v>
      </c>
      <c r="M164" s="46">
        <f t="shared" si="14"/>
        <v>0.03453619923509385</v>
      </c>
    </row>
    <row r="165" spans="1:13" ht="12.75">
      <c r="A165" s="122" t="s">
        <v>27</v>
      </c>
      <c r="B165" s="119" t="s">
        <v>15</v>
      </c>
      <c r="C165" s="126" t="s">
        <v>307</v>
      </c>
      <c r="D165" s="129">
        <v>69821</v>
      </c>
      <c r="E165" s="135">
        <v>48068646</v>
      </c>
      <c r="F165" s="132">
        <v>50785683</v>
      </c>
      <c r="G165" s="139">
        <f t="shared" si="10"/>
        <v>-2717037</v>
      </c>
      <c r="H165" s="143">
        <v>25360857.3</v>
      </c>
      <c r="I165" s="144">
        <v>0</v>
      </c>
      <c r="J165" s="34">
        <f t="shared" si="11"/>
        <v>363.22678420532503</v>
      </c>
      <c r="K165" s="47">
        <f t="shared" si="12"/>
        <v>0</v>
      </c>
      <c r="L165" s="45">
        <f t="shared" si="13"/>
        <v>52.75966645700817</v>
      </c>
      <c r="M165" s="46">
        <f t="shared" si="14"/>
        <v>0</v>
      </c>
    </row>
    <row r="166" spans="1:13" ht="12.75">
      <c r="A166" s="122" t="s">
        <v>27</v>
      </c>
      <c r="B166" s="119" t="s">
        <v>139</v>
      </c>
      <c r="C166" s="126" t="s">
        <v>308</v>
      </c>
      <c r="D166" s="129">
        <v>67741</v>
      </c>
      <c r="E166" s="135">
        <v>33076667</v>
      </c>
      <c r="F166" s="132">
        <v>40237862</v>
      </c>
      <c r="G166" s="139">
        <f t="shared" si="10"/>
        <v>-7161195</v>
      </c>
      <c r="H166" s="143">
        <v>0</v>
      </c>
      <c r="I166" s="144">
        <v>0</v>
      </c>
      <c r="J166" s="34">
        <f t="shared" si="11"/>
        <v>0</v>
      </c>
      <c r="K166" s="47">
        <f t="shared" si="12"/>
        <v>0</v>
      </c>
      <c r="L166" s="45">
        <f t="shared" si="13"/>
        <v>0</v>
      </c>
      <c r="M166" s="46">
        <f t="shared" si="14"/>
        <v>0</v>
      </c>
    </row>
    <row r="167" spans="1:13" ht="12.75">
      <c r="A167" s="122" t="s">
        <v>27</v>
      </c>
      <c r="B167" s="119" t="s">
        <v>17</v>
      </c>
      <c r="C167" s="126" t="s">
        <v>309</v>
      </c>
      <c r="D167" s="129">
        <v>44012</v>
      </c>
      <c r="E167" s="135">
        <v>38445633</v>
      </c>
      <c r="F167" s="132">
        <v>38737034</v>
      </c>
      <c r="G167" s="139">
        <f t="shared" si="10"/>
        <v>-291401</v>
      </c>
      <c r="H167" s="143">
        <v>6843597</v>
      </c>
      <c r="I167" s="144">
        <v>0</v>
      </c>
      <c r="J167" s="34">
        <f t="shared" si="11"/>
        <v>155.49388803053714</v>
      </c>
      <c r="K167" s="47">
        <f t="shared" si="12"/>
        <v>0</v>
      </c>
      <c r="L167" s="45">
        <f t="shared" si="13"/>
        <v>17.800713542679865</v>
      </c>
      <c r="M167" s="46">
        <f t="shared" si="14"/>
        <v>0</v>
      </c>
    </row>
    <row r="168" spans="1:13" ht="12.75">
      <c r="A168" s="122" t="s">
        <v>27</v>
      </c>
      <c r="B168" s="119" t="s">
        <v>142</v>
      </c>
      <c r="C168" s="126" t="s">
        <v>310</v>
      </c>
      <c r="D168" s="129">
        <v>145512</v>
      </c>
      <c r="E168" s="135">
        <v>94215810</v>
      </c>
      <c r="F168" s="132">
        <v>103321397</v>
      </c>
      <c r="G168" s="139">
        <f t="shared" si="10"/>
        <v>-9105587</v>
      </c>
      <c r="H168" s="143">
        <v>818012.43</v>
      </c>
      <c r="I168" s="144">
        <v>194.08</v>
      </c>
      <c r="J168" s="34">
        <f t="shared" si="11"/>
        <v>5.621614918357249</v>
      </c>
      <c r="K168" s="47">
        <f t="shared" si="12"/>
        <v>0.0013337731596019574</v>
      </c>
      <c r="L168" s="45">
        <f t="shared" si="13"/>
        <v>0.8682326564936396</v>
      </c>
      <c r="M168" s="46">
        <f t="shared" si="14"/>
        <v>0.00020599515091999953</v>
      </c>
    </row>
    <row r="169" spans="1:13" ht="12.75">
      <c r="A169" s="122" t="s">
        <v>27</v>
      </c>
      <c r="B169" s="119" t="s">
        <v>19</v>
      </c>
      <c r="C169" s="126" t="s">
        <v>311</v>
      </c>
      <c r="D169" s="129">
        <v>67998</v>
      </c>
      <c r="E169" s="135">
        <v>42177725</v>
      </c>
      <c r="F169" s="132">
        <v>44159812</v>
      </c>
      <c r="G169" s="139">
        <f t="shared" si="10"/>
        <v>-1982087</v>
      </c>
      <c r="H169" s="143">
        <v>2077482</v>
      </c>
      <c r="I169" s="144">
        <v>0</v>
      </c>
      <c r="J169" s="34">
        <f t="shared" si="11"/>
        <v>30.55210447366099</v>
      </c>
      <c r="K169" s="47">
        <f t="shared" si="12"/>
        <v>0</v>
      </c>
      <c r="L169" s="45">
        <f t="shared" si="13"/>
        <v>4.925543044343905</v>
      </c>
      <c r="M169" s="46">
        <f t="shared" si="14"/>
        <v>0</v>
      </c>
    </row>
    <row r="170" spans="1:13" ht="12.75">
      <c r="A170" s="122" t="s">
        <v>27</v>
      </c>
      <c r="B170" s="119" t="s">
        <v>145</v>
      </c>
      <c r="C170" s="126" t="s">
        <v>201</v>
      </c>
      <c r="D170" s="129">
        <v>134739</v>
      </c>
      <c r="E170" s="135">
        <v>49520825</v>
      </c>
      <c r="F170" s="132">
        <v>50609140</v>
      </c>
      <c r="G170" s="139">
        <f t="shared" si="10"/>
        <v>-1088315</v>
      </c>
      <c r="H170" s="143">
        <v>4225000.26</v>
      </c>
      <c r="I170" s="144">
        <v>0</v>
      </c>
      <c r="J170" s="34">
        <f t="shared" si="11"/>
        <v>31.356921603989935</v>
      </c>
      <c r="K170" s="47">
        <f t="shared" si="12"/>
        <v>0</v>
      </c>
      <c r="L170" s="45">
        <f t="shared" si="13"/>
        <v>8.531764686876683</v>
      </c>
      <c r="M170" s="46">
        <f t="shared" si="14"/>
        <v>0</v>
      </c>
    </row>
    <row r="171" spans="1:13" ht="12.75">
      <c r="A171" s="122" t="s">
        <v>27</v>
      </c>
      <c r="B171" s="119" t="s">
        <v>21</v>
      </c>
      <c r="C171" s="126" t="s">
        <v>312</v>
      </c>
      <c r="D171" s="129">
        <v>59764</v>
      </c>
      <c r="E171" s="135">
        <v>39827381</v>
      </c>
      <c r="F171" s="132">
        <v>41274046.59</v>
      </c>
      <c r="G171" s="139">
        <f t="shared" si="10"/>
        <v>-1446665.5900000036</v>
      </c>
      <c r="H171" s="143">
        <v>12335219.42</v>
      </c>
      <c r="I171" s="144">
        <v>454.42</v>
      </c>
      <c r="J171" s="34">
        <f t="shared" si="11"/>
        <v>206.39882571447694</v>
      </c>
      <c r="K171" s="47">
        <f t="shared" si="12"/>
        <v>0.007603574057961315</v>
      </c>
      <c r="L171" s="45">
        <f t="shared" si="13"/>
        <v>30.971706173699946</v>
      </c>
      <c r="M171" s="46">
        <f t="shared" si="14"/>
        <v>0.0011409738440998668</v>
      </c>
    </row>
    <row r="172" spans="1:13" ht="12.75">
      <c r="A172" s="122" t="s">
        <v>27</v>
      </c>
      <c r="B172" s="119" t="s">
        <v>148</v>
      </c>
      <c r="C172" s="126" t="s">
        <v>313</v>
      </c>
      <c r="D172" s="129">
        <v>80421</v>
      </c>
      <c r="E172" s="135">
        <v>49455227</v>
      </c>
      <c r="F172" s="132">
        <v>53110427</v>
      </c>
      <c r="G172" s="139">
        <f t="shared" si="10"/>
        <v>-3655200</v>
      </c>
      <c r="H172" s="143">
        <v>3646171</v>
      </c>
      <c r="I172" s="144">
        <v>0</v>
      </c>
      <c r="J172" s="34">
        <f t="shared" si="11"/>
        <v>45.3385434152771</v>
      </c>
      <c r="K172" s="47">
        <f t="shared" si="12"/>
        <v>0</v>
      </c>
      <c r="L172" s="45">
        <f t="shared" si="13"/>
        <v>7.372670638029828</v>
      </c>
      <c r="M172" s="46">
        <f t="shared" si="14"/>
        <v>0</v>
      </c>
    </row>
    <row r="173" spans="1:13" ht="12.75">
      <c r="A173" s="122" t="s">
        <v>29</v>
      </c>
      <c r="B173" s="119" t="s">
        <v>133</v>
      </c>
      <c r="C173" s="126" t="s">
        <v>314</v>
      </c>
      <c r="D173" s="129">
        <v>22184</v>
      </c>
      <c r="E173" s="135">
        <v>25759661.39</v>
      </c>
      <c r="F173" s="132">
        <v>26079998.950000003</v>
      </c>
      <c r="G173" s="139">
        <f t="shared" si="10"/>
        <v>-320337.5600000024</v>
      </c>
      <c r="H173" s="143">
        <v>10751889</v>
      </c>
      <c r="I173" s="144">
        <v>0</v>
      </c>
      <c r="J173" s="34">
        <f t="shared" si="11"/>
        <v>484.6686350522899</v>
      </c>
      <c r="K173" s="47">
        <f t="shared" si="12"/>
        <v>0</v>
      </c>
      <c r="L173" s="45">
        <f t="shared" si="13"/>
        <v>41.7392481881533</v>
      </c>
      <c r="M173" s="46">
        <f t="shared" si="14"/>
        <v>0</v>
      </c>
    </row>
    <row r="174" spans="1:13" ht="12.75">
      <c r="A174" s="122" t="s">
        <v>29</v>
      </c>
      <c r="B174" s="119" t="s">
        <v>13</v>
      </c>
      <c r="C174" s="126" t="s">
        <v>315</v>
      </c>
      <c r="D174" s="129">
        <v>65228</v>
      </c>
      <c r="E174" s="135">
        <v>42263822</v>
      </c>
      <c r="F174" s="132">
        <v>41625187</v>
      </c>
      <c r="G174" s="139">
        <f t="shared" si="10"/>
        <v>638635</v>
      </c>
      <c r="H174" s="143">
        <v>3405245</v>
      </c>
      <c r="I174" s="144">
        <v>0</v>
      </c>
      <c r="J174" s="34">
        <f t="shared" si="11"/>
        <v>52.20526461029006</v>
      </c>
      <c r="K174" s="47">
        <f t="shared" si="12"/>
        <v>0</v>
      </c>
      <c r="L174" s="45">
        <f t="shared" si="13"/>
        <v>8.057115610604265</v>
      </c>
      <c r="M174" s="46">
        <f t="shared" si="14"/>
        <v>0</v>
      </c>
    </row>
    <row r="175" spans="1:13" ht="12.75">
      <c r="A175" s="122" t="s">
        <v>29</v>
      </c>
      <c r="B175" s="119" t="s">
        <v>136</v>
      </c>
      <c r="C175" s="126" t="s">
        <v>316</v>
      </c>
      <c r="D175" s="129">
        <v>132490</v>
      </c>
      <c r="E175" s="135">
        <v>88437661</v>
      </c>
      <c r="F175" s="132">
        <v>94829372</v>
      </c>
      <c r="G175" s="139">
        <f t="shared" si="10"/>
        <v>-6391711</v>
      </c>
      <c r="H175" s="143">
        <v>9241456.09</v>
      </c>
      <c r="I175" s="144">
        <v>0</v>
      </c>
      <c r="J175" s="34">
        <f t="shared" si="11"/>
        <v>69.75210272473394</v>
      </c>
      <c r="K175" s="47">
        <f t="shared" si="12"/>
        <v>0</v>
      </c>
      <c r="L175" s="45">
        <f t="shared" si="13"/>
        <v>10.449683975698996</v>
      </c>
      <c r="M175" s="46">
        <f t="shared" si="14"/>
        <v>0</v>
      </c>
    </row>
    <row r="176" spans="1:13" ht="12.75">
      <c r="A176" s="122" t="s">
        <v>29</v>
      </c>
      <c r="B176" s="119" t="s">
        <v>15</v>
      </c>
      <c r="C176" s="126" t="s">
        <v>317</v>
      </c>
      <c r="D176" s="129">
        <v>122072</v>
      </c>
      <c r="E176" s="135">
        <v>93478671.88000001</v>
      </c>
      <c r="F176" s="132">
        <v>89888671.88</v>
      </c>
      <c r="G176" s="139">
        <f t="shared" si="10"/>
        <v>3590000.000000015</v>
      </c>
      <c r="H176" s="143">
        <v>12700000</v>
      </c>
      <c r="I176" s="144">
        <v>0</v>
      </c>
      <c r="J176" s="34">
        <f t="shared" si="11"/>
        <v>104.03696179304018</v>
      </c>
      <c r="K176" s="47">
        <f t="shared" si="12"/>
        <v>0</v>
      </c>
      <c r="L176" s="45">
        <f t="shared" si="13"/>
        <v>13.585986776002962</v>
      </c>
      <c r="M176" s="46">
        <f t="shared" si="14"/>
        <v>0</v>
      </c>
    </row>
    <row r="177" spans="1:13" ht="12.75">
      <c r="A177" s="122" t="s">
        <v>29</v>
      </c>
      <c r="B177" s="119" t="s">
        <v>139</v>
      </c>
      <c r="C177" s="126" t="s">
        <v>318</v>
      </c>
      <c r="D177" s="129">
        <v>114997</v>
      </c>
      <c r="E177" s="135">
        <v>74471167</v>
      </c>
      <c r="F177" s="132">
        <v>89248800</v>
      </c>
      <c r="G177" s="139">
        <f t="shared" si="10"/>
        <v>-14777633</v>
      </c>
      <c r="H177" s="143">
        <v>8642425.35</v>
      </c>
      <c r="I177" s="144">
        <v>0</v>
      </c>
      <c r="J177" s="34">
        <f t="shared" si="11"/>
        <v>75.15348530831238</v>
      </c>
      <c r="K177" s="47">
        <f t="shared" si="12"/>
        <v>0</v>
      </c>
      <c r="L177" s="45">
        <f t="shared" si="13"/>
        <v>11.605062332378917</v>
      </c>
      <c r="M177" s="46">
        <f t="shared" si="14"/>
        <v>0</v>
      </c>
    </row>
    <row r="178" spans="1:13" ht="12.75">
      <c r="A178" s="122" t="s">
        <v>29</v>
      </c>
      <c r="B178" s="119" t="s">
        <v>17</v>
      </c>
      <c r="C178" s="126" t="s">
        <v>319</v>
      </c>
      <c r="D178" s="129">
        <v>61388</v>
      </c>
      <c r="E178" s="135">
        <v>31648104</v>
      </c>
      <c r="F178" s="132">
        <v>34279004</v>
      </c>
      <c r="G178" s="139">
        <f t="shared" si="10"/>
        <v>-2630900</v>
      </c>
      <c r="H178" s="143">
        <v>7728201.12</v>
      </c>
      <c r="I178" s="144">
        <v>0</v>
      </c>
      <c r="J178" s="34">
        <f t="shared" si="11"/>
        <v>125.89107187072392</v>
      </c>
      <c r="K178" s="47">
        <f t="shared" si="12"/>
        <v>0</v>
      </c>
      <c r="L178" s="45">
        <f t="shared" si="13"/>
        <v>24.419159896592856</v>
      </c>
      <c r="M178" s="46">
        <f t="shared" si="14"/>
        <v>0</v>
      </c>
    </row>
    <row r="179" spans="1:13" ht="12.75">
      <c r="A179" s="122" t="s">
        <v>29</v>
      </c>
      <c r="B179" s="119" t="s">
        <v>142</v>
      </c>
      <c r="C179" s="126" t="s">
        <v>210</v>
      </c>
      <c r="D179" s="129">
        <v>109749</v>
      </c>
      <c r="E179" s="135">
        <v>48621774</v>
      </c>
      <c r="F179" s="132">
        <v>51206935</v>
      </c>
      <c r="G179" s="139">
        <f t="shared" si="10"/>
        <v>-2585161</v>
      </c>
      <c r="H179" s="143">
        <v>4951573.48</v>
      </c>
      <c r="I179" s="144">
        <v>151573.48</v>
      </c>
      <c r="J179" s="34">
        <f t="shared" si="11"/>
        <v>45.11725373351921</v>
      </c>
      <c r="K179" s="47">
        <f t="shared" si="12"/>
        <v>1.3810921284020812</v>
      </c>
      <c r="L179" s="45">
        <f t="shared" si="13"/>
        <v>10.183860177541035</v>
      </c>
      <c r="M179" s="46">
        <f t="shared" si="14"/>
        <v>0.31173992129534395</v>
      </c>
    </row>
    <row r="180" spans="1:13" ht="12.75">
      <c r="A180" s="122" t="s">
        <v>29</v>
      </c>
      <c r="B180" s="119" t="s">
        <v>19</v>
      </c>
      <c r="C180" s="126" t="s">
        <v>320</v>
      </c>
      <c r="D180" s="129">
        <v>69202</v>
      </c>
      <c r="E180" s="135">
        <v>50709840</v>
      </c>
      <c r="F180" s="132">
        <v>53184774</v>
      </c>
      <c r="G180" s="139">
        <f t="shared" si="10"/>
        <v>-2474934</v>
      </c>
      <c r="H180" s="143">
        <v>2900000</v>
      </c>
      <c r="I180" s="144">
        <v>0</v>
      </c>
      <c r="J180" s="34">
        <f t="shared" si="11"/>
        <v>41.9063032860322</v>
      </c>
      <c r="K180" s="47">
        <f t="shared" si="12"/>
        <v>0</v>
      </c>
      <c r="L180" s="45">
        <f t="shared" si="13"/>
        <v>5.718811181419622</v>
      </c>
      <c r="M180" s="46">
        <f t="shared" si="14"/>
        <v>0</v>
      </c>
    </row>
    <row r="181" spans="1:13" ht="12.75">
      <c r="A181" s="122" t="s">
        <v>29</v>
      </c>
      <c r="B181" s="119" t="s">
        <v>145</v>
      </c>
      <c r="C181" s="126" t="s">
        <v>321</v>
      </c>
      <c r="D181" s="129">
        <v>57022</v>
      </c>
      <c r="E181" s="135">
        <v>65791618</v>
      </c>
      <c r="F181" s="132">
        <v>68603815</v>
      </c>
      <c r="G181" s="139">
        <f t="shared" si="10"/>
        <v>-2812197</v>
      </c>
      <c r="H181" s="143">
        <v>15477906.91</v>
      </c>
      <c r="I181" s="144">
        <v>4198.06</v>
      </c>
      <c r="J181" s="34">
        <f t="shared" si="11"/>
        <v>271.43746115534356</v>
      </c>
      <c r="K181" s="47">
        <f t="shared" si="12"/>
        <v>0.07362176002244748</v>
      </c>
      <c r="L181" s="45">
        <f t="shared" si="13"/>
        <v>23.52565171751818</v>
      </c>
      <c r="M181" s="46">
        <f t="shared" si="14"/>
        <v>0.006380843225348251</v>
      </c>
    </row>
    <row r="182" spans="1:13" ht="12.75">
      <c r="A182" s="122" t="s">
        <v>29</v>
      </c>
      <c r="B182" s="119" t="s">
        <v>21</v>
      </c>
      <c r="C182" s="126" t="s">
        <v>322</v>
      </c>
      <c r="D182" s="129">
        <v>77761</v>
      </c>
      <c r="E182" s="135">
        <v>44680213</v>
      </c>
      <c r="F182" s="132">
        <v>47092211</v>
      </c>
      <c r="G182" s="139">
        <f t="shared" si="10"/>
        <v>-2411998</v>
      </c>
      <c r="H182" s="143">
        <v>4008714</v>
      </c>
      <c r="I182" s="144">
        <v>0</v>
      </c>
      <c r="J182" s="34">
        <f t="shared" si="11"/>
        <v>51.55172901583056</v>
      </c>
      <c r="K182" s="47">
        <f t="shared" si="12"/>
        <v>0</v>
      </c>
      <c r="L182" s="45">
        <f t="shared" si="13"/>
        <v>8.97201183888716</v>
      </c>
      <c r="M182" s="46">
        <f t="shared" si="14"/>
        <v>0</v>
      </c>
    </row>
    <row r="183" spans="1:13" ht="12.75">
      <c r="A183" s="122" t="s">
        <v>29</v>
      </c>
      <c r="B183" s="119" t="s">
        <v>148</v>
      </c>
      <c r="C183" s="126" t="s">
        <v>323</v>
      </c>
      <c r="D183" s="129">
        <v>133158</v>
      </c>
      <c r="E183" s="135">
        <v>94715439</v>
      </c>
      <c r="F183" s="132">
        <v>99347145</v>
      </c>
      <c r="G183" s="139">
        <f t="shared" si="10"/>
        <v>-4631706</v>
      </c>
      <c r="H183" s="143">
        <v>4760749.4</v>
      </c>
      <c r="I183" s="144">
        <v>5749.4</v>
      </c>
      <c r="J183" s="34">
        <f t="shared" si="11"/>
        <v>35.75263521530813</v>
      </c>
      <c r="K183" s="47">
        <f t="shared" si="12"/>
        <v>0.04317727812072875</v>
      </c>
      <c r="L183" s="45">
        <f t="shared" si="13"/>
        <v>5.026371043901301</v>
      </c>
      <c r="M183" s="46">
        <f t="shared" si="14"/>
        <v>0.006070182496857771</v>
      </c>
    </row>
    <row r="184" spans="1:13" ht="12.75">
      <c r="A184" s="122" t="s">
        <v>29</v>
      </c>
      <c r="B184" s="119" t="s">
        <v>23</v>
      </c>
      <c r="C184" s="126" t="s">
        <v>324</v>
      </c>
      <c r="D184" s="129">
        <v>67085</v>
      </c>
      <c r="E184" s="135">
        <v>33241803</v>
      </c>
      <c r="F184" s="132">
        <v>34511568</v>
      </c>
      <c r="G184" s="139">
        <f t="shared" si="10"/>
        <v>-1269765</v>
      </c>
      <c r="H184" s="143">
        <v>5918750</v>
      </c>
      <c r="I184" s="144">
        <v>0</v>
      </c>
      <c r="J184" s="34">
        <f t="shared" si="11"/>
        <v>88.22762167399567</v>
      </c>
      <c r="K184" s="47">
        <f t="shared" si="12"/>
        <v>0</v>
      </c>
      <c r="L184" s="45">
        <f t="shared" si="13"/>
        <v>17.805141315589893</v>
      </c>
      <c r="M184" s="46">
        <f t="shared" si="14"/>
        <v>0</v>
      </c>
    </row>
    <row r="185" spans="1:13" ht="12.75">
      <c r="A185" s="122" t="s">
        <v>29</v>
      </c>
      <c r="B185" s="119" t="s">
        <v>151</v>
      </c>
      <c r="C185" s="126" t="s">
        <v>325</v>
      </c>
      <c r="D185" s="129">
        <v>71101</v>
      </c>
      <c r="E185" s="135">
        <v>26661341</v>
      </c>
      <c r="F185" s="132">
        <v>28667089</v>
      </c>
      <c r="G185" s="139">
        <f t="shared" si="10"/>
        <v>-2005748</v>
      </c>
      <c r="H185" s="143">
        <v>3756804.58</v>
      </c>
      <c r="I185" s="144">
        <v>76971.58</v>
      </c>
      <c r="J185" s="34">
        <f t="shared" si="11"/>
        <v>52.83757724926513</v>
      </c>
      <c r="K185" s="47">
        <f t="shared" si="12"/>
        <v>1.0825667712127818</v>
      </c>
      <c r="L185" s="45">
        <f t="shared" si="13"/>
        <v>14.090831290144031</v>
      </c>
      <c r="M185" s="46">
        <f t="shared" si="14"/>
        <v>0.28870108221488183</v>
      </c>
    </row>
    <row r="186" spans="1:13" ht="12.75">
      <c r="A186" s="122" t="s">
        <v>29</v>
      </c>
      <c r="B186" s="119" t="s">
        <v>25</v>
      </c>
      <c r="C186" s="126" t="s">
        <v>326</v>
      </c>
      <c r="D186" s="129">
        <v>78637</v>
      </c>
      <c r="E186" s="135">
        <v>41657857.83</v>
      </c>
      <c r="F186" s="132">
        <v>42324307.83</v>
      </c>
      <c r="G186" s="139">
        <f t="shared" si="10"/>
        <v>-666450</v>
      </c>
      <c r="H186" s="143">
        <v>12248382.1</v>
      </c>
      <c r="I186" s="144">
        <v>1640754.75</v>
      </c>
      <c r="J186" s="34">
        <f t="shared" si="11"/>
        <v>155.75851189643552</v>
      </c>
      <c r="K186" s="47">
        <f t="shared" si="12"/>
        <v>20.864920457291095</v>
      </c>
      <c r="L186" s="45">
        <f t="shared" si="13"/>
        <v>29.402333048386613</v>
      </c>
      <c r="M186" s="46">
        <f t="shared" si="14"/>
        <v>3.938644076936685</v>
      </c>
    </row>
    <row r="187" spans="1:13" ht="12.75">
      <c r="A187" s="122" t="s">
        <v>29</v>
      </c>
      <c r="B187" s="119" t="s">
        <v>154</v>
      </c>
      <c r="C187" s="126" t="s">
        <v>327</v>
      </c>
      <c r="D187" s="129">
        <v>71275</v>
      </c>
      <c r="E187" s="135">
        <v>49899478</v>
      </c>
      <c r="F187" s="132">
        <v>52215527.99999999</v>
      </c>
      <c r="G187" s="139">
        <f t="shared" si="10"/>
        <v>-2316049.9999999925</v>
      </c>
      <c r="H187" s="143">
        <v>7138699.09</v>
      </c>
      <c r="I187" s="144">
        <v>22183.13</v>
      </c>
      <c r="J187" s="34">
        <f t="shared" si="11"/>
        <v>100.15712507891968</v>
      </c>
      <c r="K187" s="47">
        <f t="shared" si="12"/>
        <v>0.3112329708874079</v>
      </c>
      <c r="L187" s="45">
        <f t="shared" si="13"/>
        <v>14.306159856020939</v>
      </c>
      <c r="M187" s="46">
        <f t="shared" si="14"/>
        <v>0.04445563538760867</v>
      </c>
    </row>
    <row r="188" spans="1:13" ht="12.75">
      <c r="A188" s="122" t="s">
        <v>29</v>
      </c>
      <c r="B188" s="119" t="s">
        <v>27</v>
      </c>
      <c r="C188" s="126" t="s">
        <v>328</v>
      </c>
      <c r="D188" s="129">
        <v>170065</v>
      </c>
      <c r="E188" s="135">
        <v>72218493</v>
      </c>
      <c r="F188" s="132">
        <v>72719744</v>
      </c>
      <c r="G188" s="139">
        <f t="shared" si="10"/>
        <v>-501251</v>
      </c>
      <c r="H188" s="143">
        <v>1983654.84</v>
      </c>
      <c r="I188" s="144">
        <v>2235.84</v>
      </c>
      <c r="J188" s="34">
        <f t="shared" si="11"/>
        <v>11.664098080145827</v>
      </c>
      <c r="K188" s="47">
        <f t="shared" si="12"/>
        <v>0.013146973216123247</v>
      </c>
      <c r="L188" s="45">
        <f t="shared" si="13"/>
        <v>2.7467408382503913</v>
      </c>
      <c r="M188" s="46">
        <f t="shared" si="14"/>
        <v>0.003095938321504438</v>
      </c>
    </row>
    <row r="189" spans="1:13" ht="12.75">
      <c r="A189" s="122" t="s">
        <v>29</v>
      </c>
      <c r="B189" s="119" t="s">
        <v>157</v>
      </c>
      <c r="C189" s="126" t="s">
        <v>329</v>
      </c>
      <c r="D189" s="129">
        <v>94719</v>
      </c>
      <c r="E189" s="135">
        <v>57272237</v>
      </c>
      <c r="F189" s="132">
        <v>66802237</v>
      </c>
      <c r="G189" s="139">
        <f t="shared" si="10"/>
        <v>-9530000</v>
      </c>
      <c r="H189" s="143">
        <v>17324506.64</v>
      </c>
      <c r="I189" s="144">
        <v>17688.64</v>
      </c>
      <c r="J189" s="34">
        <f t="shared" si="11"/>
        <v>182.9042392761748</v>
      </c>
      <c r="K189" s="47">
        <f t="shared" si="12"/>
        <v>0.18674859320727624</v>
      </c>
      <c r="L189" s="45">
        <f t="shared" si="13"/>
        <v>30.249397522223553</v>
      </c>
      <c r="M189" s="46">
        <f t="shared" si="14"/>
        <v>0.03088519137116994</v>
      </c>
    </row>
    <row r="190" spans="1:13" ht="12.75">
      <c r="A190" s="122" t="s">
        <v>29</v>
      </c>
      <c r="B190" s="119" t="s">
        <v>29</v>
      </c>
      <c r="C190" s="126" t="s">
        <v>330</v>
      </c>
      <c r="D190" s="129">
        <v>108830</v>
      </c>
      <c r="E190" s="135">
        <v>67006635</v>
      </c>
      <c r="F190" s="132">
        <v>71514648</v>
      </c>
      <c r="G190" s="139">
        <f t="shared" si="10"/>
        <v>-4508013</v>
      </c>
      <c r="H190" s="143">
        <v>19208593</v>
      </c>
      <c r="I190" s="144">
        <v>0</v>
      </c>
      <c r="J190" s="34">
        <f t="shared" si="11"/>
        <v>176.50090048699806</v>
      </c>
      <c r="K190" s="47">
        <f t="shared" si="12"/>
        <v>0</v>
      </c>
      <c r="L190" s="45">
        <f t="shared" si="13"/>
        <v>28.666702931732058</v>
      </c>
      <c r="M190" s="46">
        <f t="shared" si="14"/>
        <v>0</v>
      </c>
    </row>
    <row r="191" spans="1:13" ht="12.75">
      <c r="A191" s="122" t="s">
        <v>29</v>
      </c>
      <c r="B191" s="119" t="s">
        <v>160</v>
      </c>
      <c r="C191" s="126" t="s">
        <v>331</v>
      </c>
      <c r="D191" s="129">
        <v>61905</v>
      </c>
      <c r="E191" s="135">
        <v>41967888</v>
      </c>
      <c r="F191" s="132">
        <v>44171642</v>
      </c>
      <c r="G191" s="139">
        <f t="shared" si="10"/>
        <v>-2203754</v>
      </c>
      <c r="H191" s="143">
        <v>6036167.21</v>
      </c>
      <c r="I191" s="144">
        <v>0</v>
      </c>
      <c r="J191" s="34">
        <f t="shared" si="11"/>
        <v>97.5069414425329</v>
      </c>
      <c r="K191" s="47">
        <f t="shared" si="12"/>
        <v>0</v>
      </c>
      <c r="L191" s="45">
        <f t="shared" si="13"/>
        <v>14.382823386299545</v>
      </c>
      <c r="M191" s="46">
        <f t="shared" si="14"/>
        <v>0</v>
      </c>
    </row>
    <row r="192" spans="1:13" ht="12.75">
      <c r="A192" s="122" t="s">
        <v>29</v>
      </c>
      <c r="B192" s="119" t="s">
        <v>31</v>
      </c>
      <c r="C192" s="126" t="s">
        <v>332</v>
      </c>
      <c r="D192" s="129">
        <v>53713</v>
      </c>
      <c r="E192" s="135">
        <v>28476607</v>
      </c>
      <c r="F192" s="132">
        <v>31363228</v>
      </c>
      <c r="G192" s="139">
        <f t="shared" si="10"/>
        <v>-2886621</v>
      </c>
      <c r="H192" s="143">
        <v>1400000</v>
      </c>
      <c r="I192" s="144">
        <v>0</v>
      </c>
      <c r="J192" s="34">
        <f t="shared" si="11"/>
        <v>26.0644536704336</v>
      </c>
      <c r="K192" s="47">
        <f t="shared" si="12"/>
        <v>0</v>
      </c>
      <c r="L192" s="45">
        <f t="shared" si="13"/>
        <v>4.916316048467431</v>
      </c>
      <c r="M192" s="46">
        <f t="shared" si="14"/>
        <v>0</v>
      </c>
    </row>
    <row r="193" spans="1:13" ht="12.75">
      <c r="A193" s="122" t="s">
        <v>29</v>
      </c>
      <c r="B193" s="119" t="s">
        <v>163</v>
      </c>
      <c r="C193" s="126" t="s">
        <v>333</v>
      </c>
      <c r="D193" s="129">
        <v>26578</v>
      </c>
      <c r="E193" s="135">
        <v>27260346.83</v>
      </c>
      <c r="F193" s="132">
        <v>26825630.83</v>
      </c>
      <c r="G193" s="139">
        <f t="shared" si="10"/>
        <v>434716</v>
      </c>
      <c r="H193" s="143">
        <v>14481713.77</v>
      </c>
      <c r="I193" s="144">
        <v>116841.41</v>
      </c>
      <c r="J193" s="34">
        <f t="shared" si="11"/>
        <v>544.8759790051922</v>
      </c>
      <c r="K193" s="47">
        <f t="shared" si="12"/>
        <v>4.396170140717887</v>
      </c>
      <c r="L193" s="45">
        <f t="shared" si="13"/>
        <v>53.1237326520838</v>
      </c>
      <c r="M193" s="46">
        <f t="shared" si="14"/>
        <v>0.4286130720516589</v>
      </c>
    </row>
    <row r="194" spans="1:13" ht="12.75">
      <c r="A194" s="122" t="s">
        <v>31</v>
      </c>
      <c r="B194" s="119" t="s">
        <v>133</v>
      </c>
      <c r="C194" s="126" t="s">
        <v>334</v>
      </c>
      <c r="D194" s="129">
        <v>58975</v>
      </c>
      <c r="E194" s="135">
        <v>51842819</v>
      </c>
      <c r="F194" s="132">
        <v>52214879</v>
      </c>
      <c r="G194" s="139">
        <f t="shared" si="10"/>
        <v>-372060</v>
      </c>
      <c r="H194" s="143">
        <v>2261336.54</v>
      </c>
      <c r="I194" s="144">
        <v>0</v>
      </c>
      <c r="J194" s="34">
        <f t="shared" si="11"/>
        <v>38.34398541754981</v>
      </c>
      <c r="K194" s="47">
        <f t="shared" si="12"/>
        <v>0</v>
      </c>
      <c r="L194" s="45">
        <f t="shared" si="13"/>
        <v>4.361908907769849</v>
      </c>
      <c r="M194" s="46">
        <f t="shared" si="14"/>
        <v>0</v>
      </c>
    </row>
    <row r="195" spans="1:13" ht="12.75">
      <c r="A195" s="122" t="s">
        <v>31</v>
      </c>
      <c r="B195" s="119" t="s">
        <v>13</v>
      </c>
      <c r="C195" s="126" t="s">
        <v>335</v>
      </c>
      <c r="D195" s="129">
        <v>137282</v>
      </c>
      <c r="E195" s="135">
        <v>73739724</v>
      </c>
      <c r="F195" s="132">
        <v>75565493</v>
      </c>
      <c r="G195" s="139">
        <f t="shared" si="10"/>
        <v>-1825769</v>
      </c>
      <c r="H195" s="143">
        <v>2172590</v>
      </c>
      <c r="I195" s="144">
        <v>0</v>
      </c>
      <c r="J195" s="34">
        <f t="shared" si="11"/>
        <v>15.825745545665127</v>
      </c>
      <c r="K195" s="47">
        <f t="shared" si="12"/>
        <v>0</v>
      </c>
      <c r="L195" s="45">
        <f t="shared" si="13"/>
        <v>2.9462952695618987</v>
      </c>
      <c r="M195" s="46">
        <f t="shared" si="14"/>
        <v>0</v>
      </c>
    </row>
    <row r="196" spans="1:13" ht="12.75">
      <c r="A196" s="122" t="s">
        <v>31</v>
      </c>
      <c r="B196" s="119" t="s">
        <v>136</v>
      </c>
      <c r="C196" s="126" t="s">
        <v>336</v>
      </c>
      <c r="D196" s="129">
        <v>59764</v>
      </c>
      <c r="E196" s="135">
        <v>45003528</v>
      </c>
      <c r="F196" s="132">
        <v>49131808</v>
      </c>
      <c r="G196" s="139">
        <f t="shared" si="10"/>
        <v>-4128280</v>
      </c>
      <c r="H196" s="143">
        <v>6528000</v>
      </c>
      <c r="I196" s="144">
        <v>0</v>
      </c>
      <c r="J196" s="34">
        <f t="shared" si="11"/>
        <v>109.22963657051068</v>
      </c>
      <c r="K196" s="47">
        <f t="shared" si="12"/>
        <v>0</v>
      </c>
      <c r="L196" s="45">
        <f t="shared" si="13"/>
        <v>14.505529433159106</v>
      </c>
      <c r="M196" s="46">
        <f t="shared" si="14"/>
        <v>0</v>
      </c>
    </row>
    <row r="197" spans="1:13" ht="12.75">
      <c r="A197" s="122" t="s">
        <v>31</v>
      </c>
      <c r="B197" s="119" t="s">
        <v>15</v>
      </c>
      <c r="C197" s="126" t="s">
        <v>337</v>
      </c>
      <c r="D197" s="129">
        <v>49921</v>
      </c>
      <c r="E197" s="135">
        <v>34612818</v>
      </c>
      <c r="F197" s="132">
        <v>37303601</v>
      </c>
      <c r="G197" s="139">
        <f t="shared" si="10"/>
        <v>-2690783</v>
      </c>
      <c r="H197" s="143">
        <v>3021966.66</v>
      </c>
      <c r="I197" s="144">
        <v>0</v>
      </c>
      <c r="J197" s="34">
        <f t="shared" si="11"/>
        <v>60.534978465976245</v>
      </c>
      <c r="K197" s="47">
        <f t="shared" si="12"/>
        <v>0</v>
      </c>
      <c r="L197" s="45">
        <f t="shared" si="13"/>
        <v>8.730773264401645</v>
      </c>
      <c r="M197" s="46">
        <f t="shared" si="14"/>
        <v>0</v>
      </c>
    </row>
    <row r="198" spans="1:13" ht="12.75">
      <c r="A198" s="122" t="s">
        <v>31</v>
      </c>
      <c r="B198" s="119" t="s">
        <v>139</v>
      </c>
      <c r="C198" s="126" t="s">
        <v>338</v>
      </c>
      <c r="D198" s="129">
        <v>47830</v>
      </c>
      <c r="E198" s="135">
        <v>30519944</v>
      </c>
      <c r="F198" s="132">
        <v>31986846</v>
      </c>
      <c r="G198" s="139">
        <f t="shared" si="10"/>
        <v>-1466902</v>
      </c>
      <c r="H198" s="143">
        <v>10809253.94</v>
      </c>
      <c r="I198" s="144">
        <v>0</v>
      </c>
      <c r="J198" s="34">
        <f t="shared" si="11"/>
        <v>225.99318293957765</v>
      </c>
      <c r="K198" s="47">
        <f t="shared" si="12"/>
        <v>0</v>
      </c>
      <c r="L198" s="45">
        <f t="shared" si="13"/>
        <v>35.41701760658538</v>
      </c>
      <c r="M198" s="46">
        <f t="shared" si="14"/>
        <v>0</v>
      </c>
    </row>
    <row r="199" spans="1:13" ht="12.75">
      <c r="A199" s="122" t="s">
        <v>31</v>
      </c>
      <c r="B199" s="119" t="s">
        <v>17</v>
      </c>
      <c r="C199" s="126" t="s">
        <v>339</v>
      </c>
      <c r="D199" s="129">
        <v>39660</v>
      </c>
      <c r="E199" s="135">
        <v>21518399</v>
      </c>
      <c r="F199" s="132">
        <v>23018399</v>
      </c>
      <c r="G199" s="139">
        <f t="shared" si="10"/>
        <v>-1500000</v>
      </c>
      <c r="H199" s="143">
        <v>300006</v>
      </c>
      <c r="I199" s="144">
        <v>0</v>
      </c>
      <c r="J199" s="34">
        <f t="shared" si="11"/>
        <v>7.564447806354009</v>
      </c>
      <c r="K199" s="47">
        <f t="shared" si="12"/>
        <v>0</v>
      </c>
      <c r="L199" s="45">
        <f t="shared" si="13"/>
        <v>1.3941836472127875</v>
      </c>
      <c r="M199" s="46">
        <f t="shared" si="14"/>
        <v>0</v>
      </c>
    </row>
    <row r="200" spans="1:13" ht="12.75">
      <c r="A200" s="122" t="s">
        <v>31</v>
      </c>
      <c r="B200" s="119" t="s">
        <v>142</v>
      </c>
      <c r="C200" s="126" t="s">
        <v>340</v>
      </c>
      <c r="D200" s="129">
        <v>50896</v>
      </c>
      <c r="E200" s="135">
        <v>16216302</v>
      </c>
      <c r="F200" s="132">
        <v>16525010</v>
      </c>
      <c r="G200" s="139">
        <f aca="true" t="shared" si="15" ref="G200:G263">E200-F200</f>
        <v>-308708</v>
      </c>
      <c r="H200" s="143">
        <v>0</v>
      </c>
      <c r="I200" s="144">
        <v>0</v>
      </c>
      <c r="J200" s="34">
        <f aca="true" t="shared" si="16" ref="J200:J263">H200/D200</f>
        <v>0</v>
      </c>
      <c r="K200" s="47">
        <f aca="true" t="shared" si="17" ref="K200:K263">I200/D200</f>
        <v>0</v>
      </c>
      <c r="L200" s="45">
        <f aca="true" t="shared" si="18" ref="L200:L263">H200/E200*100</f>
        <v>0</v>
      </c>
      <c r="M200" s="46">
        <f aca="true" t="shared" si="19" ref="M200:M263">I200/E200*100</f>
        <v>0</v>
      </c>
    </row>
    <row r="201" spans="1:13" ht="12.75">
      <c r="A201" s="122" t="s">
        <v>31</v>
      </c>
      <c r="B201" s="119" t="s">
        <v>19</v>
      </c>
      <c r="C201" s="126" t="s">
        <v>341</v>
      </c>
      <c r="D201" s="129">
        <v>42836</v>
      </c>
      <c r="E201" s="135">
        <v>25442403</v>
      </c>
      <c r="F201" s="132">
        <v>27109403</v>
      </c>
      <c r="G201" s="139">
        <f t="shared" si="15"/>
        <v>-1667000</v>
      </c>
      <c r="H201" s="143">
        <v>2965000</v>
      </c>
      <c r="I201" s="144">
        <v>0</v>
      </c>
      <c r="J201" s="34">
        <f t="shared" si="16"/>
        <v>69.21748062377439</v>
      </c>
      <c r="K201" s="47">
        <f t="shared" si="17"/>
        <v>0</v>
      </c>
      <c r="L201" s="45">
        <f t="shared" si="18"/>
        <v>11.653773426983292</v>
      </c>
      <c r="M201" s="46">
        <f t="shared" si="19"/>
        <v>0</v>
      </c>
    </row>
    <row r="202" spans="1:13" ht="12.75">
      <c r="A202" s="122" t="s">
        <v>31</v>
      </c>
      <c r="B202" s="119" t="s">
        <v>145</v>
      </c>
      <c r="C202" s="126" t="s">
        <v>342</v>
      </c>
      <c r="D202" s="129">
        <v>21235</v>
      </c>
      <c r="E202" s="135">
        <v>15385111</v>
      </c>
      <c r="F202" s="132">
        <v>15660041</v>
      </c>
      <c r="G202" s="139">
        <f t="shared" si="15"/>
        <v>-274930</v>
      </c>
      <c r="H202" s="143">
        <v>834729.04</v>
      </c>
      <c r="I202" s="144">
        <v>0</v>
      </c>
      <c r="J202" s="34">
        <f t="shared" si="16"/>
        <v>39.309114198257596</v>
      </c>
      <c r="K202" s="47">
        <f t="shared" si="17"/>
        <v>0</v>
      </c>
      <c r="L202" s="45">
        <f t="shared" si="18"/>
        <v>5.425563975456531</v>
      </c>
      <c r="M202" s="46">
        <f t="shared" si="19"/>
        <v>0</v>
      </c>
    </row>
    <row r="203" spans="1:13" ht="12.75">
      <c r="A203" s="122" t="s">
        <v>31</v>
      </c>
      <c r="B203" s="119" t="s">
        <v>21</v>
      </c>
      <c r="C203" s="126" t="s">
        <v>343</v>
      </c>
      <c r="D203" s="129">
        <v>48474</v>
      </c>
      <c r="E203" s="135">
        <v>37155497.58</v>
      </c>
      <c r="F203" s="132">
        <v>36890984.989999995</v>
      </c>
      <c r="G203" s="139">
        <f t="shared" si="15"/>
        <v>264512.5900000036</v>
      </c>
      <c r="H203" s="143">
        <v>3328112.46</v>
      </c>
      <c r="I203" s="144">
        <v>0</v>
      </c>
      <c r="J203" s="34">
        <f t="shared" si="16"/>
        <v>68.65768164376779</v>
      </c>
      <c r="K203" s="47">
        <f t="shared" si="17"/>
        <v>0</v>
      </c>
      <c r="L203" s="45">
        <f t="shared" si="18"/>
        <v>8.957254448912161</v>
      </c>
      <c r="M203" s="46">
        <f t="shared" si="19"/>
        <v>0</v>
      </c>
    </row>
    <row r="204" spans="1:13" ht="12.75">
      <c r="A204" s="122" t="s">
        <v>31</v>
      </c>
      <c r="B204" s="119" t="s">
        <v>148</v>
      </c>
      <c r="C204" s="126" t="s">
        <v>344</v>
      </c>
      <c r="D204" s="129">
        <v>72046</v>
      </c>
      <c r="E204" s="135">
        <v>42912685</v>
      </c>
      <c r="F204" s="132">
        <v>46049771</v>
      </c>
      <c r="G204" s="139">
        <f t="shared" si="15"/>
        <v>-3137086</v>
      </c>
      <c r="H204" s="143">
        <v>4529251</v>
      </c>
      <c r="I204" s="144">
        <v>0</v>
      </c>
      <c r="J204" s="34">
        <f t="shared" si="16"/>
        <v>62.866099436471146</v>
      </c>
      <c r="K204" s="47">
        <f t="shared" si="17"/>
        <v>0</v>
      </c>
      <c r="L204" s="45">
        <f t="shared" si="18"/>
        <v>10.554573781621915</v>
      </c>
      <c r="M204" s="46">
        <f t="shared" si="19"/>
        <v>0</v>
      </c>
    </row>
    <row r="205" spans="1:13" ht="12.75">
      <c r="A205" s="122" t="s">
        <v>31</v>
      </c>
      <c r="B205" s="119" t="s">
        <v>23</v>
      </c>
      <c r="C205" s="126" t="s">
        <v>345</v>
      </c>
      <c r="D205" s="129">
        <v>35248</v>
      </c>
      <c r="E205" s="135">
        <v>19836072</v>
      </c>
      <c r="F205" s="132">
        <v>22196390</v>
      </c>
      <c r="G205" s="139">
        <f t="shared" si="15"/>
        <v>-2360318</v>
      </c>
      <c r="H205" s="143">
        <v>3107893.83</v>
      </c>
      <c r="I205" s="144">
        <v>0</v>
      </c>
      <c r="J205" s="34">
        <f t="shared" si="16"/>
        <v>88.17220352927826</v>
      </c>
      <c r="K205" s="47">
        <f t="shared" si="17"/>
        <v>0</v>
      </c>
      <c r="L205" s="45">
        <f t="shared" si="18"/>
        <v>15.6678894389978</v>
      </c>
      <c r="M205" s="46">
        <f t="shared" si="19"/>
        <v>0</v>
      </c>
    </row>
    <row r="206" spans="1:13" ht="12.75">
      <c r="A206" s="122" t="s">
        <v>31</v>
      </c>
      <c r="B206" s="119" t="s">
        <v>151</v>
      </c>
      <c r="C206" s="126" t="s">
        <v>346</v>
      </c>
      <c r="D206" s="129">
        <v>59600</v>
      </c>
      <c r="E206" s="135">
        <v>40153007</v>
      </c>
      <c r="F206" s="132">
        <v>40465373</v>
      </c>
      <c r="G206" s="139">
        <f t="shared" si="15"/>
        <v>-312366</v>
      </c>
      <c r="H206" s="143">
        <v>592998.93</v>
      </c>
      <c r="I206" s="144">
        <v>0</v>
      </c>
      <c r="J206" s="34">
        <f t="shared" si="16"/>
        <v>9.949646476510068</v>
      </c>
      <c r="K206" s="47">
        <f t="shared" si="17"/>
        <v>0</v>
      </c>
      <c r="L206" s="45">
        <f t="shared" si="18"/>
        <v>1.476848122483081</v>
      </c>
      <c r="M206" s="46">
        <f t="shared" si="19"/>
        <v>0</v>
      </c>
    </row>
    <row r="207" spans="1:13" ht="12.75">
      <c r="A207" s="122" t="s">
        <v>31</v>
      </c>
      <c r="B207" s="119" t="s">
        <v>25</v>
      </c>
      <c r="C207" s="126" t="s">
        <v>347</v>
      </c>
      <c r="D207" s="129">
        <v>44871</v>
      </c>
      <c r="E207" s="135">
        <v>36673435</v>
      </c>
      <c r="F207" s="132">
        <v>38234435</v>
      </c>
      <c r="G207" s="139">
        <f t="shared" si="15"/>
        <v>-1561000</v>
      </c>
      <c r="H207" s="143">
        <v>2329578.77</v>
      </c>
      <c r="I207" s="144">
        <v>8.59</v>
      </c>
      <c r="J207" s="34">
        <f t="shared" si="16"/>
        <v>51.91724655122462</v>
      </c>
      <c r="K207" s="47">
        <f t="shared" si="17"/>
        <v>0.00019143767689599073</v>
      </c>
      <c r="L207" s="45">
        <f t="shared" si="18"/>
        <v>6.352224082636382</v>
      </c>
      <c r="M207" s="46">
        <f t="shared" si="19"/>
        <v>2.3422949063811447E-05</v>
      </c>
    </row>
    <row r="208" spans="1:13" ht="12.75">
      <c r="A208" s="122" t="s">
        <v>33</v>
      </c>
      <c r="B208" s="119" t="s">
        <v>133</v>
      </c>
      <c r="C208" s="126" t="s">
        <v>348</v>
      </c>
      <c r="D208" s="129">
        <v>75286</v>
      </c>
      <c r="E208" s="135">
        <v>56424054</v>
      </c>
      <c r="F208" s="132">
        <v>56446707</v>
      </c>
      <c r="G208" s="139">
        <f t="shared" si="15"/>
        <v>-22653</v>
      </c>
      <c r="H208" s="143">
        <v>14299731.3</v>
      </c>
      <c r="I208" s="144">
        <v>0</v>
      </c>
      <c r="J208" s="34">
        <f t="shared" si="16"/>
        <v>189.93878410328614</v>
      </c>
      <c r="K208" s="47">
        <f t="shared" si="17"/>
        <v>0</v>
      </c>
      <c r="L208" s="45">
        <f t="shared" si="18"/>
        <v>25.343324852198673</v>
      </c>
      <c r="M208" s="46">
        <f t="shared" si="19"/>
        <v>0</v>
      </c>
    </row>
    <row r="209" spans="1:13" ht="12.75">
      <c r="A209" s="122" t="s">
        <v>33</v>
      </c>
      <c r="B209" s="119" t="s">
        <v>13</v>
      </c>
      <c r="C209" s="126" t="s">
        <v>349</v>
      </c>
      <c r="D209" s="129">
        <v>91825</v>
      </c>
      <c r="E209" s="135">
        <v>67739694</v>
      </c>
      <c r="F209" s="132">
        <v>74257816</v>
      </c>
      <c r="G209" s="139">
        <f t="shared" si="15"/>
        <v>-6518122</v>
      </c>
      <c r="H209" s="143">
        <v>2882044.01</v>
      </c>
      <c r="I209" s="144">
        <v>1738.01</v>
      </c>
      <c r="J209" s="34">
        <f t="shared" si="16"/>
        <v>31.38626746528723</v>
      </c>
      <c r="K209" s="47">
        <f t="shared" si="17"/>
        <v>0.018927416280969236</v>
      </c>
      <c r="L209" s="45">
        <f t="shared" si="18"/>
        <v>4.254586697719655</v>
      </c>
      <c r="M209" s="46">
        <f t="shared" si="19"/>
        <v>0.002565718705490462</v>
      </c>
    </row>
    <row r="210" spans="1:13" ht="12.75">
      <c r="A210" s="122" t="s">
        <v>33</v>
      </c>
      <c r="B210" s="119" t="s">
        <v>136</v>
      </c>
      <c r="C210" s="126" t="s">
        <v>350</v>
      </c>
      <c r="D210" s="129">
        <v>56926</v>
      </c>
      <c r="E210" s="135">
        <v>62050040</v>
      </c>
      <c r="F210" s="132">
        <v>58425333</v>
      </c>
      <c r="G210" s="139">
        <f t="shared" si="15"/>
        <v>3624707</v>
      </c>
      <c r="H210" s="143">
        <v>20272999.97</v>
      </c>
      <c r="I210" s="144">
        <v>0</v>
      </c>
      <c r="J210" s="34">
        <f t="shared" si="16"/>
        <v>356.1290090643994</v>
      </c>
      <c r="K210" s="47">
        <f t="shared" si="17"/>
        <v>0</v>
      </c>
      <c r="L210" s="45">
        <f t="shared" si="18"/>
        <v>32.672017568401245</v>
      </c>
      <c r="M210" s="46">
        <f t="shared" si="19"/>
        <v>0</v>
      </c>
    </row>
    <row r="211" spans="1:13" ht="12.75">
      <c r="A211" s="122" t="s">
        <v>33</v>
      </c>
      <c r="B211" s="119" t="s">
        <v>15</v>
      </c>
      <c r="C211" s="126" t="s">
        <v>351</v>
      </c>
      <c r="D211" s="129">
        <v>86451</v>
      </c>
      <c r="E211" s="135">
        <v>39434502</v>
      </c>
      <c r="F211" s="132">
        <v>41993763</v>
      </c>
      <c r="G211" s="139">
        <f t="shared" si="15"/>
        <v>-2559261</v>
      </c>
      <c r="H211" s="143">
        <v>6232980.47</v>
      </c>
      <c r="I211" s="144">
        <v>0</v>
      </c>
      <c r="J211" s="34">
        <f t="shared" si="16"/>
        <v>72.09841956715364</v>
      </c>
      <c r="K211" s="47">
        <f t="shared" si="17"/>
        <v>0</v>
      </c>
      <c r="L211" s="45">
        <f t="shared" si="18"/>
        <v>15.805906386240151</v>
      </c>
      <c r="M211" s="46">
        <f t="shared" si="19"/>
        <v>0</v>
      </c>
    </row>
    <row r="212" spans="1:13" ht="12.75">
      <c r="A212" s="122" t="s">
        <v>33</v>
      </c>
      <c r="B212" s="119" t="s">
        <v>139</v>
      </c>
      <c r="C212" s="126" t="s">
        <v>352</v>
      </c>
      <c r="D212" s="129">
        <v>110086</v>
      </c>
      <c r="E212" s="135">
        <v>65901179</v>
      </c>
      <c r="F212" s="132">
        <v>73033870</v>
      </c>
      <c r="G212" s="139">
        <f t="shared" si="15"/>
        <v>-7132691</v>
      </c>
      <c r="H212" s="143">
        <v>17737220</v>
      </c>
      <c r="I212" s="144">
        <v>0</v>
      </c>
      <c r="J212" s="34">
        <f t="shared" si="16"/>
        <v>161.12148683756337</v>
      </c>
      <c r="K212" s="47">
        <f t="shared" si="17"/>
        <v>0</v>
      </c>
      <c r="L212" s="45">
        <f t="shared" si="18"/>
        <v>26.914875073782824</v>
      </c>
      <c r="M212" s="46">
        <f t="shared" si="19"/>
        <v>0</v>
      </c>
    </row>
    <row r="213" spans="1:13" ht="12.75">
      <c r="A213" s="122" t="s">
        <v>33</v>
      </c>
      <c r="B213" s="119" t="s">
        <v>17</v>
      </c>
      <c r="C213" s="126" t="s">
        <v>353</v>
      </c>
      <c r="D213" s="129">
        <v>67036</v>
      </c>
      <c r="E213" s="135">
        <v>50450745</v>
      </c>
      <c r="F213" s="132">
        <v>58327013</v>
      </c>
      <c r="G213" s="139">
        <f t="shared" si="15"/>
        <v>-7876268</v>
      </c>
      <c r="H213" s="143">
        <v>10835953</v>
      </c>
      <c r="I213" s="144">
        <v>0</v>
      </c>
      <c r="J213" s="34">
        <f t="shared" si="16"/>
        <v>161.64378841219644</v>
      </c>
      <c r="K213" s="47">
        <f t="shared" si="17"/>
        <v>0</v>
      </c>
      <c r="L213" s="45">
        <f t="shared" si="18"/>
        <v>21.478281440640767</v>
      </c>
      <c r="M213" s="46">
        <f t="shared" si="19"/>
        <v>0</v>
      </c>
    </row>
    <row r="214" spans="1:13" ht="12.75">
      <c r="A214" s="122" t="s">
        <v>33</v>
      </c>
      <c r="B214" s="119" t="s">
        <v>142</v>
      </c>
      <c r="C214" s="126" t="s">
        <v>354</v>
      </c>
      <c r="D214" s="129">
        <v>80898</v>
      </c>
      <c r="E214" s="135">
        <v>59370517</v>
      </c>
      <c r="F214" s="132">
        <v>68375738</v>
      </c>
      <c r="G214" s="139">
        <f t="shared" si="15"/>
        <v>-9005221</v>
      </c>
      <c r="H214" s="143">
        <v>10952800</v>
      </c>
      <c r="I214" s="144">
        <v>0</v>
      </c>
      <c r="J214" s="34">
        <f t="shared" si="16"/>
        <v>135.39024450542658</v>
      </c>
      <c r="K214" s="47">
        <f t="shared" si="17"/>
        <v>0</v>
      </c>
      <c r="L214" s="45">
        <f t="shared" si="18"/>
        <v>18.4482139510424</v>
      </c>
      <c r="M214" s="46">
        <f t="shared" si="19"/>
        <v>0</v>
      </c>
    </row>
    <row r="215" spans="1:13" ht="12.75">
      <c r="A215" s="122" t="s">
        <v>33</v>
      </c>
      <c r="B215" s="119" t="s">
        <v>19</v>
      </c>
      <c r="C215" s="126" t="s">
        <v>355</v>
      </c>
      <c r="D215" s="129">
        <v>63703</v>
      </c>
      <c r="E215" s="135">
        <v>56330540</v>
      </c>
      <c r="F215" s="132">
        <v>57442339</v>
      </c>
      <c r="G215" s="139">
        <f t="shared" si="15"/>
        <v>-1111799</v>
      </c>
      <c r="H215" s="143">
        <v>1521607.32</v>
      </c>
      <c r="I215" s="144">
        <v>0</v>
      </c>
      <c r="J215" s="34">
        <f t="shared" si="16"/>
        <v>23.885960158862222</v>
      </c>
      <c r="K215" s="47">
        <f t="shared" si="17"/>
        <v>0</v>
      </c>
      <c r="L215" s="45">
        <f t="shared" si="18"/>
        <v>2.7012120245962494</v>
      </c>
      <c r="M215" s="46">
        <f t="shared" si="19"/>
        <v>0</v>
      </c>
    </row>
    <row r="216" spans="1:13" ht="12.75">
      <c r="A216" s="122" t="s">
        <v>33</v>
      </c>
      <c r="B216" s="119" t="s">
        <v>145</v>
      </c>
      <c r="C216" s="126" t="s">
        <v>356</v>
      </c>
      <c r="D216" s="129">
        <v>62867</v>
      </c>
      <c r="E216" s="135">
        <v>55884905</v>
      </c>
      <c r="F216" s="132">
        <v>59275492</v>
      </c>
      <c r="G216" s="139">
        <f t="shared" si="15"/>
        <v>-3390587</v>
      </c>
      <c r="H216" s="143">
        <v>7426947.85</v>
      </c>
      <c r="I216" s="144">
        <v>102994.33</v>
      </c>
      <c r="J216" s="34">
        <f t="shared" si="16"/>
        <v>118.13746242066584</v>
      </c>
      <c r="K216" s="47">
        <f t="shared" si="17"/>
        <v>1.6382892455501297</v>
      </c>
      <c r="L216" s="45">
        <f t="shared" si="18"/>
        <v>13.289720811013279</v>
      </c>
      <c r="M216" s="46">
        <f t="shared" si="19"/>
        <v>0.18429722659455178</v>
      </c>
    </row>
    <row r="217" spans="1:13" ht="12.75">
      <c r="A217" s="122" t="s">
        <v>33</v>
      </c>
      <c r="B217" s="119" t="s">
        <v>21</v>
      </c>
      <c r="C217" s="126" t="s">
        <v>273</v>
      </c>
      <c r="D217" s="129">
        <v>35487</v>
      </c>
      <c r="E217" s="135">
        <v>40978561</v>
      </c>
      <c r="F217" s="132">
        <v>45291402</v>
      </c>
      <c r="G217" s="139">
        <f t="shared" si="15"/>
        <v>-4312841</v>
      </c>
      <c r="H217" s="143">
        <v>9128526</v>
      </c>
      <c r="I217" s="144">
        <v>0</v>
      </c>
      <c r="J217" s="34">
        <f t="shared" si="16"/>
        <v>257.23577648152843</v>
      </c>
      <c r="K217" s="47">
        <f t="shared" si="17"/>
        <v>0</v>
      </c>
      <c r="L217" s="45">
        <f t="shared" si="18"/>
        <v>22.276345916587946</v>
      </c>
      <c r="M217" s="46">
        <f t="shared" si="19"/>
        <v>0</v>
      </c>
    </row>
    <row r="218" spans="1:13" ht="12.75">
      <c r="A218" s="122" t="s">
        <v>33</v>
      </c>
      <c r="B218" s="119" t="s">
        <v>148</v>
      </c>
      <c r="C218" s="126" t="s">
        <v>357</v>
      </c>
      <c r="D218" s="129">
        <v>74717</v>
      </c>
      <c r="E218" s="135">
        <v>47520306</v>
      </c>
      <c r="F218" s="132">
        <v>48973319</v>
      </c>
      <c r="G218" s="139">
        <f t="shared" si="15"/>
        <v>-1453013</v>
      </c>
      <c r="H218" s="143">
        <v>12660000</v>
      </c>
      <c r="I218" s="144">
        <v>0</v>
      </c>
      <c r="J218" s="34">
        <f t="shared" si="16"/>
        <v>169.439351151679</v>
      </c>
      <c r="K218" s="47">
        <f t="shared" si="17"/>
        <v>0</v>
      </c>
      <c r="L218" s="45">
        <f t="shared" si="18"/>
        <v>26.641242587958082</v>
      </c>
      <c r="M218" s="46">
        <f t="shared" si="19"/>
        <v>0</v>
      </c>
    </row>
    <row r="219" spans="1:13" ht="12.75">
      <c r="A219" s="122" t="s">
        <v>33</v>
      </c>
      <c r="B219" s="119" t="s">
        <v>23</v>
      </c>
      <c r="C219" s="126" t="s">
        <v>358</v>
      </c>
      <c r="D219" s="129">
        <v>92355</v>
      </c>
      <c r="E219" s="135">
        <v>61876264</v>
      </c>
      <c r="F219" s="132">
        <v>65617534</v>
      </c>
      <c r="G219" s="139">
        <f t="shared" si="15"/>
        <v>-3741270</v>
      </c>
      <c r="H219" s="143">
        <v>12751894.54</v>
      </c>
      <c r="I219" s="144">
        <v>0</v>
      </c>
      <c r="J219" s="34">
        <f t="shared" si="16"/>
        <v>138.07476086838827</v>
      </c>
      <c r="K219" s="47">
        <f t="shared" si="17"/>
        <v>0</v>
      </c>
      <c r="L219" s="45">
        <f t="shared" si="18"/>
        <v>20.608701488506156</v>
      </c>
      <c r="M219" s="46">
        <f t="shared" si="19"/>
        <v>0</v>
      </c>
    </row>
    <row r="220" spans="1:13" ht="12.75">
      <c r="A220" s="122" t="s">
        <v>33</v>
      </c>
      <c r="B220" s="119" t="s">
        <v>151</v>
      </c>
      <c r="C220" s="126" t="s">
        <v>359</v>
      </c>
      <c r="D220" s="129">
        <v>122116</v>
      </c>
      <c r="E220" s="135">
        <v>82349604</v>
      </c>
      <c r="F220" s="132">
        <v>85048343</v>
      </c>
      <c r="G220" s="139">
        <f t="shared" si="15"/>
        <v>-2698739</v>
      </c>
      <c r="H220" s="143">
        <v>5071272.54</v>
      </c>
      <c r="I220" s="144">
        <v>3672.54</v>
      </c>
      <c r="J220" s="34">
        <f t="shared" si="16"/>
        <v>41.528321759638374</v>
      </c>
      <c r="K220" s="47">
        <f t="shared" si="17"/>
        <v>0.030074191752104556</v>
      </c>
      <c r="L220" s="45">
        <f t="shared" si="18"/>
        <v>6.1582233473763885</v>
      </c>
      <c r="M220" s="46">
        <f t="shared" si="19"/>
        <v>0.004459693576668565</v>
      </c>
    </row>
    <row r="221" spans="1:13" ht="12.75">
      <c r="A221" s="122" t="s">
        <v>33</v>
      </c>
      <c r="B221" s="119" t="s">
        <v>25</v>
      </c>
      <c r="C221" s="126" t="s">
        <v>360</v>
      </c>
      <c r="D221" s="129">
        <v>112716</v>
      </c>
      <c r="E221" s="135">
        <v>98481692</v>
      </c>
      <c r="F221" s="132">
        <v>102819350</v>
      </c>
      <c r="G221" s="139">
        <f t="shared" si="15"/>
        <v>-4337658</v>
      </c>
      <c r="H221" s="143">
        <v>0</v>
      </c>
      <c r="I221" s="144">
        <v>0</v>
      </c>
      <c r="J221" s="34">
        <f t="shared" si="16"/>
        <v>0</v>
      </c>
      <c r="K221" s="47">
        <f t="shared" si="17"/>
        <v>0</v>
      </c>
      <c r="L221" s="45">
        <f t="shared" si="18"/>
        <v>0</v>
      </c>
      <c r="M221" s="46">
        <f t="shared" si="19"/>
        <v>0</v>
      </c>
    </row>
    <row r="222" spans="1:13" ht="12.75">
      <c r="A222" s="122" t="s">
        <v>33</v>
      </c>
      <c r="B222" s="119" t="s">
        <v>154</v>
      </c>
      <c r="C222" s="126" t="s">
        <v>361</v>
      </c>
      <c r="D222" s="129">
        <v>183085</v>
      </c>
      <c r="E222" s="135">
        <v>99875774</v>
      </c>
      <c r="F222" s="132">
        <v>105833344</v>
      </c>
      <c r="G222" s="139">
        <f t="shared" si="15"/>
        <v>-5957570</v>
      </c>
      <c r="H222" s="143">
        <v>8699038.25</v>
      </c>
      <c r="I222" s="144">
        <v>0</v>
      </c>
      <c r="J222" s="34">
        <f t="shared" si="16"/>
        <v>47.51365895622252</v>
      </c>
      <c r="K222" s="47">
        <f t="shared" si="17"/>
        <v>0</v>
      </c>
      <c r="L222" s="45">
        <f t="shared" si="18"/>
        <v>8.709858158395848</v>
      </c>
      <c r="M222" s="46">
        <f t="shared" si="19"/>
        <v>0</v>
      </c>
    </row>
    <row r="223" spans="1:13" ht="12.75">
      <c r="A223" s="122" t="s">
        <v>33</v>
      </c>
      <c r="B223" s="119" t="s">
        <v>27</v>
      </c>
      <c r="C223" s="126" t="s">
        <v>362</v>
      </c>
      <c r="D223" s="129">
        <v>41823</v>
      </c>
      <c r="E223" s="135">
        <v>29075883</v>
      </c>
      <c r="F223" s="132">
        <v>33349078</v>
      </c>
      <c r="G223" s="139">
        <f t="shared" si="15"/>
        <v>-4273195</v>
      </c>
      <c r="H223" s="143">
        <v>3820976.88</v>
      </c>
      <c r="I223" s="144">
        <v>0</v>
      </c>
      <c r="J223" s="34">
        <f t="shared" si="16"/>
        <v>91.36065992396529</v>
      </c>
      <c r="K223" s="47">
        <f t="shared" si="17"/>
        <v>0</v>
      </c>
      <c r="L223" s="45">
        <f t="shared" si="18"/>
        <v>13.141395843421162</v>
      </c>
      <c r="M223" s="46">
        <f t="shared" si="19"/>
        <v>0</v>
      </c>
    </row>
    <row r="224" spans="1:13" ht="12.75">
      <c r="A224" s="122" t="s">
        <v>35</v>
      </c>
      <c r="B224" s="119" t="s">
        <v>133</v>
      </c>
      <c r="C224" s="126" t="s">
        <v>363</v>
      </c>
      <c r="D224" s="129">
        <v>151163</v>
      </c>
      <c r="E224" s="135">
        <v>78990140.69000001</v>
      </c>
      <c r="F224" s="132">
        <v>83776005.30999999</v>
      </c>
      <c r="G224" s="139">
        <f t="shared" si="15"/>
        <v>-4785864.619999975</v>
      </c>
      <c r="H224" s="143">
        <v>2649220.65</v>
      </c>
      <c r="I224" s="144">
        <v>0</v>
      </c>
      <c r="J224" s="34">
        <f t="shared" si="16"/>
        <v>17.52558926456871</v>
      </c>
      <c r="K224" s="47">
        <f t="shared" si="17"/>
        <v>0</v>
      </c>
      <c r="L224" s="45">
        <f t="shared" si="18"/>
        <v>3.3538624274603754</v>
      </c>
      <c r="M224" s="46">
        <f t="shared" si="19"/>
        <v>0</v>
      </c>
    </row>
    <row r="225" spans="1:13" ht="12.75">
      <c r="A225" s="122" t="s">
        <v>35</v>
      </c>
      <c r="B225" s="119" t="s">
        <v>13</v>
      </c>
      <c r="C225" s="126" t="s">
        <v>336</v>
      </c>
      <c r="D225" s="129">
        <v>151505</v>
      </c>
      <c r="E225" s="135">
        <v>59870918.21</v>
      </c>
      <c r="F225" s="132">
        <v>73232968.21</v>
      </c>
      <c r="G225" s="139">
        <f t="shared" si="15"/>
        <v>-13362049.999999993</v>
      </c>
      <c r="H225" s="143">
        <v>3892329</v>
      </c>
      <c r="I225" s="144">
        <v>0</v>
      </c>
      <c r="J225" s="34">
        <f t="shared" si="16"/>
        <v>25.691092703211115</v>
      </c>
      <c r="K225" s="47">
        <f t="shared" si="17"/>
        <v>0</v>
      </c>
      <c r="L225" s="45">
        <f t="shared" si="18"/>
        <v>6.50120144532856</v>
      </c>
      <c r="M225" s="46">
        <f t="shared" si="19"/>
        <v>0</v>
      </c>
    </row>
    <row r="226" spans="1:13" ht="12.75">
      <c r="A226" s="122" t="s">
        <v>35</v>
      </c>
      <c r="B226" s="119" t="s">
        <v>136</v>
      </c>
      <c r="C226" s="126" t="s">
        <v>364</v>
      </c>
      <c r="D226" s="129">
        <v>170822</v>
      </c>
      <c r="E226" s="135">
        <v>135358997</v>
      </c>
      <c r="F226" s="132">
        <v>135430368</v>
      </c>
      <c r="G226" s="139">
        <f t="shared" si="15"/>
        <v>-71371</v>
      </c>
      <c r="H226" s="143">
        <v>15390685.49</v>
      </c>
      <c r="I226" s="144">
        <v>0</v>
      </c>
      <c r="J226" s="34">
        <f t="shared" si="16"/>
        <v>90.09779472199132</v>
      </c>
      <c r="K226" s="47">
        <f t="shared" si="17"/>
        <v>0</v>
      </c>
      <c r="L226" s="45">
        <f t="shared" si="18"/>
        <v>11.37027152321467</v>
      </c>
      <c r="M226" s="46">
        <f t="shared" si="19"/>
        <v>0</v>
      </c>
    </row>
    <row r="227" spans="1:13" ht="12.75">
      <c r="A227" s="122" t="s">
        <v>35</v>
      </c>
      <c r="B227" s="119" t="s">
        <v>15</v>
      </c>
      <c r="C227" s="126" t="s">
        <v>365</v>
      </c>
      <c r="D227" s="129">
        <v>133582</v>
      </c>
      <c r="E227" s="135">
        <v>75541566</v>
      </c>
      <c r="F227" s="132">
        <v>80585873</v>
      </c>
      <c r="G227" s="139">
        <f t="shared" si="15"/>
        <v>-5044307</v>
      </c>
      <c r="H227" s="143">
        <v>9792647.24</v>
      </c>
      <c r="I227" s="144">
        <v>46541.46</v>
      </c>
      <c r="J227" s="34">
        <f t="shared" si="16"/>
        <v>73.30813462891707</v>
      </c>
      <c r="K227" s="47">
        <f t="shared" si="17"/>
        <v>0.34841116318066806</v>
      </c>
      <c r="L227" s="45">
        <f t="shared" si="18"/>
        <v>12.963256864439373</v>
      </c>
      <c r="M227" s="46">
        <f t="shared" si="19"/>
        <v>0.06161039870420478</v>
      </c>
    </row>
    <row r="228" spans="1:13" ht="12.75">
      <c r="A228" s="122" t="s">
        <v>35</v>
      </c>
      <c r="B228" s="119" t="s">
        <v>139</v>
      </c>
      <c r="C228" s="126" t="s">
        <v>366</v>
      </c>
      <c r="D228" s="129">
        <v>114848</v>
      </c>
      <c r="E228" s="135">
        <v>48496145</v>
      </c>
      <c r="F228" s="132">
        <v>52302538</v>
      </c>
      <c r="G228" s="139">
        <f t="shared" si="15"/>
        <v>-3806393</v>
      </c>
      <c r="H228" s="143">
        <v>935208</v>
      </c>
      <c r="I228" s="144">
        <v>0</v>
      </c>
      <c r="J228" s="34">
        <f t="shared" si="16"/>
        <v>8.143006408470326</v>
      </c>
      <c r="K228" s="47">
        <f t="shared" si="17"/>
        <v>0</v>
      </c>
      <c r="L228" s="45">
        <f t="shared" si="18"/>
        <v>1.9284171968720403</v>
      </c>
      <c r="M228" s="46">
        <f t="shared" si="19"/>
        <v>0</v>
      </c>
    </row>
    <row r="229" spans="1:13" ht="12.75">
      <c r="A229" s="122" t="s">
        <v>35</v>
      </c>
      <c r="B229" s="119" t="s">
        <v>17</v>
      </c>
      <c r="C229" s="126" t="s">
        <v>367</v>
      </c>
      <c r="D229" s="129">
        <v>84761</v>
      </c>
      <c r="E229" s="135">
        <v>42269879</v>
      </c>
      <c r="F229" s="132">
        <v>44606244</v>
      </c>
      <c r="G229" s="139">
        <f t="shared" si="15"/>
        <v>-2336365</v>
      </c>
      <c r="H229" s="143">
        <v>8571387.3</v>
      </c>
      <c r="I229" s="144">
        <v>0.72</v>
      </c>
      <c r="J229" s="34">
        <f t="shared" si="16"/>
        <v>101.12418801099564</v>
      </c>
      <c r="K229" s="47">
        <f t="shared" si="17"/>
        <v>8.494472693809652E-06</v>
      </c>
      <c r="L229" s="45">
        <f t="shared" si="18"/>
        <v>20.277766349887116</v>
      </c>
      <c r="M229" s="46">
        <f t="shared" si="19"/>
        <v>1.703340574975386E-06</v>
      </c>
    </row>
    <row r="230" spans="1:13" ht="12.75">
      <c r="A230" s="122" t="s">
        <v>35</v>
      </c>
      <c r="B230" s="119" t="s">
        <v>142</v>
      </c>
      <c r="C230" s="126" t="s">
        <v>368</v>
      </c>
      <c r="D230" s="129">
        <v>76530</v>
      </c>
      <c r="E230" s="135">
        <v>65992363</v>
      </c>
      <c r="F230" s="132">
        <v>77390718</v>
      </c>
      <c r="G230" s="139">
        <f t="shared" si="15"/>
        <v>-11398355</v>
      </c>
      <c r="H230" s="143">
        <v>13410736.16</v>
      </c>
      <c r="I230" s="144">
        <v>22176.13</v>
      </c>
      <c r="J230" s="34">
        <f t="shared" si="16"/>
        <v>175.23502103750164</v>
      </c>
      <c r="K230" s="47">
        <f t="shared" si="17"/>
        <v>0.2897704168300013</v>
      </c>
      <c r="L230" s="45">
        <f t="shared" si="18"/>
        <v>20.321648673195718</v>
      </c>
      <c r="M230" s="46">
        <f t="shared" si="19"/>
        <v>0.033604085369696494</v>
      </c>
    </row>
    <row r="231" spans="1:13" ht="12.75">
      <c r="A231" s="122" t="s">
        <v>35</v>
      </c>
      <c r="B231" s="119" t="s">
        <v>19</v>
      </c>
      <c r="C231" s="126" t="s">
        <v>369</v>
      </c>
      <c r="D231" s="129">
        <v>91112</v>
      </c>
      <c r="E231" s="135">
        <v>60955029</v>
      </c>
      <c r="F231" s="132">
        <v>62204591</v>
      </c>
      <c r="G231" s="139">
        <f t="shared" si="15"/>
        <v>-1249562</v>
      </c>
      <c r="H231" s="143">
        <v>15742928.29</v>
      </c>
      <c r="I231" s="144">
        <v>0</v>
      </c>
      <c r="J231" s="34">
        <f t="shared" si="16"/>
        <v>172.7865516068136</v>
      </c>
      <c r="K231" s="47">
        <f t="shared" si="17"/>
        <v>0</v>
      </c>
      <c r="L231" s="45">
        <f t="shared" si="18"/>
        <v>25.82711967867327</v>
      </c>
      <c r="M231" s="46">
        <f t="shared" si="19"/>
        <v>0</v>
      </c>
    </row>
    <row r="232" spans="1:13" ht="12.75">
      <c r="A232" s="122" t="s">
        <v>35</v>
      </c>
      <c r="B232" s="119" t="s">
        <v>145</v>
      </c>
      <c r="C232" s="126" t="s">
        <v>370</v>
      </c>
      <c r="D232" s="129">
        <v>71628</v>
      </c>
      <c r="E232" s="135">
        <v>49342872</v>
      </c>
      <c r="F232" s="132">
        <v>53637288</v>
      </c>
      <c r="G232" s="139">
        <f t="shared" si="15"/>
        <v>-4294416</v>
      </c>
      <c r="H232" s="143">
        <v>0</v>
      </c>
      <c r="I232" s="144">
        <v>0</v>
      </c>
      <c r="J232" s="34">
        <f t="shared" si="16"/>
        <v>0</v>
      </c>
      <c r="K232" s="47">
        <f t="shared" si="17"/>
        <v>0</v>
      </c>
      <c r="L232" s="45">
        <f t="shared" si="18"/>
        <v>0</v>
      </c>
      <c r="M232" s="46">
        <f t="shared" si="19"/>
        <v>0</v>
      </c>
    </row>
    <row r="233" spans="1:13" ht="12.75">
      <c r="A233" s="122" t="s">
        <v>35</v>
      </c>
      <c r="B233" s="119" t="s">
        <v>21</v>
      </c>
      <c r="C233" s="126" t="s">
        <v>371</v>
      </c>
      <c r="D233" s="129">
        <v>104828</v>
      </c>
      <c r="E233" s="135">
        <v>58611487</v>
      </c>
      <c r="F233" s="132">
        <v>62398637</v>
      </c>
      <c r="G233" s="139">
        <f t="shared" si="15"/>
        <v>-3787150</v>
      </c>
      <c r="H233" s="143">
        <v>2612491</v>
      </c>
      <c r="I233" s="144">
        <v>0</v>
      </c>
      <c r="J233" s="34">
        <f t="shared" si="16"/>
        <v>24.9216907696417</v>
      </c>
      <c r="K233" s="47">
        <f t="shared" si="17"/>
        <v>0</v>
      </c>
      <c r="L233" s="45">
        <f t="shared" si="18"/>
        <v>4.457302030231719</v>
      </c>
      <c r="M233" s="46">
        <f t="shared" si="19"/>
        <v>0</v>
      </c>
    </row>
    <row r="234" spans="1:13" ht="12.75">
      <c r="A234" s="122" t="s">
        <v>35</v>
      </c>
      <c r="B234" s="119" t="s">
        <v>148</v>
      </c>
      <c r="C234" s="126" t="s">
        <v>372</v>
      </c>
      <c r="D234" s="129">
        <v>111204</v>
      </c>
      <c r="E234" s="135">
        <v>98904753</v>
      </c>
      <c r="F234" s="132">
        <v>109846943</v>
      </c>
      <c r="G234" s="139">
        <f t="shared" si="15"/>
        <v>-10942190</v>
      </c>
      <c r="H234" s="143">
        <v>3045370.86</v>
      </c>
      <c r="I234" s="144">
        <v>0</v>
      </c>
      <c r="J234" s="34">
        <f t="shared" si="16"/>
        <v>27.385443509226285</v>
      </c>
      <c r="K234" s="47">
        <f t="shared" si="17"/>
        <v>0</v>
      </c>
      <c r="L234" s="45">
        <f t="shared" si="18"/>
        <v>3.0790945506936356</v>
      </c>
      <c r="M234" s="46">
        <f t="shared" si="19"/>
        <v>0</v>
      </c>
    </row>
    <row r="235" spans="1:13" ht="12.75">
      <c r="A235" s="122" t="s">
        <v>35</v>
      </c>
      <c r="B235" s="119" t="s">
        <v>23</v>
      </c>
      <c r="C235" s="126" t="s">
        <v>373</v>
      </c>
      <c r="D235" s="129">
        <v>73652</v>
      </c>
      <c r="E235" s="135">
        <v>27783070</v>
      </c>
      <c r="F235" s="132">
        <v>30029571</v>
      </c>
      <c r="G235" s="139">
        <f t="shared" si="15"/>
        <v>-2246501</v>
      </c>
      <c r="H235" s="143">
        <v>1957807.18</v>
      </c>
      <c r="I235" s="144">
        <v>0</v>
      </c>
      <c r="J235" s="34">
        <f t="shared" si="16"/>
        <v>26.581860370390483</v>
      </c>
      <c r="K235" s="47">
        <f t="shared" si="17"/>
        <v>0</v>
      </c>
      <c r="L235" s="45">
        <f t="shared" si="18"/>
        <v>7.04676329865634</v>
      </c>
      <c r="M235" s="46">
        <f t="shared" si="19"/>
        <v>0</v>
      </c>
    </row>
    <row r="236" spans="1:13" ht="12.75">
      <c r="A236" s="122" t="s">
        <v>35</v>
      </c>
      <c r="B236" s="119" t="s">
        <v>151</v>
      </c>
      <c r="C236" s="126" t="s">
        <v>374</v>
      </c>
      <c r="D236" s="129">
        <v>137830</v>
      </c>
      <c r="E236" s="135">
        <v>113760237</v>
      </c>
      <c r="F236" s="132">
        <v>122876225</v>
      </c>
      <c r="G236" s="139">
        <f t="shared" si="15"/>
        <v>-9115988</v>
      </c>
      <c r="H236" s="143">
        <v>14459034.01</v>
      </c>
      <c r="I236" s="144">
        <v>678.71</v>
      </c>
      <c r="J236" s="34">
        <f t="shared" si="16"/>
        <v>104.90483936733658</v>
      </c>
      <c r="K236" s="47">
        <f t="shared" si="17"/>
        <v>0.004924254516433288</v>
      </c>
      <c r="L236" s="45">
        <f t="shared" si="18"/>
        <v>12.71009483744307</v>
      </c>
      <c r="M236" s="46">
        <f t="shared" si="19"/>
        <v>0.0005966144391910858</v>
      </c>
    </row>
    <row r="237" spans="1:13" ht="12.75">
      <c r="A237" s="122" t="s">
        <v>35</v>
      </c>
      <c r="B237" s="119" t="s">
        <v>25</v>
      </c>
      <c r="C237" s="126" t="s">
        <v>375</v>
      </c>
      <c r="D237" s="129">
        <v>56017</v>
      </c>
      <c r="E237" s="135">
        <v>25518683.49</v>
      </c>
      <c r="F237" s="132">
        <v>27837977.489999995</v>
      </c>
      <c r="G237" s="139">
        <f t="shared" si="15"/>
        <v>-2319293.9999999963</v>
      </c>
      <c r="H237" s="143">
        <v>1641329.51</v>
      </c>
      <c r="I237" s="144">
        <v>0</v>
      </c>
      <c r="J237" s="34">
        <f t="shared" si="16"/>
        <v>29.30056072263777</v>
      </c>
      <c r="K237" s="47">
        <f t="shared" si="17"/>
        <v>0</v>
      </c>
      <c r="L237" s="45">
        <f t="shared" si="18"/>
        <v>6.431873770616684</v>
      </c>
      <c r="M237" s="46">
        <f t="shared" si="19"/>
        <v>0</v>
      </c>
    </row>
    <row r="238" spans="1:13" ht="12.75">
      <c r="A238" s="122" t="s">
        <v>35</v>
      </c>
      <c r="B238" s="119" t="s">
        <v>154</v>
      </c>
      <c r="C238" s="126" t="s">
        <v>376</v>
      </c>
      <c r="D238" s="129">
        <v>155222</v>
      </c>
      <c r="E238" s="135">
        <v>90696352</v>
      </c>
      <c r="F238" s="132">
        <v>96340411</v>
      </c>
      <c r="G238" s="139">
        <f t="shared" si="15"/>
        <v>-5644059</v>
      </c>
      <c r="H238" s="143">
        <v>4514713.98</v>
      </c>
      <c r="I238" s="144">
        <v>0</v>
      </c>
      <c r="J238" s="34">
        <f t="shared" si="16"/>
        <v>29.085528984293468</v>
      </c>
      <c r="K238" s="47">
        <f t="shared" si="17"/>
        <v>0</v>
      </c>
      <c r="L238" s="45">
        <f t="shared" si="18"/>
        <v>4.977834147066908</v>
      </c>
      <c r="M238" s="46">
        <f t="shared" si="19"/>
        <v>0</v>
      </c>
    </row>
    <row r="239" spans="1:13" ht="12.75">
      <c r="A239" s="122" t="s">
        <v>35</v>
      </c>
      <c r="B239" s="119" t="s">
        <v>27</v>
      </c>
      <c r="C239" s="126" t="s">
        <v>377</v>
      </c>
      <c r="D239" s="129">
        <v>123901</v>
      </c>
      <c r="E239" s="135">
        <v>80784726</v>
      </c>
      <c r="F239" s="132">
        <v>88025869</v>
      </c>
      <c r="G239" s="139">
        <f t="shared" si="15"/>
        <v>-7241143</v>
      </c>
      <c r="H239" s="143">
        <v>9167194</v>
      </c>
      <c r="I239" s="144">
        <v>0</v>
      </c>
      <c r="J239" s="34">
        <f t="shared" si="16"/>
        <v>73.9880549793787</v>
      </c>
      <c r="K239" s="47">
        <f t="shared" si="17"/>
        <v>0</v>
      </c>
      <c r="L239" s="45">
        <f t="shared" si="18"/>
        <v>11.34768223389159</v>
      </c>
      <c r="M239" s="46">
        <f t="shared" si="19"/>
        <v>0</v>
      </c>
    </row>
    <row r="240" spans="1:13" ht="12.75">
      <c r="A240" s="122" t="s">
        <v>35</v>
      </c>
      <c r="B240" s="119" t="s">
        <v>157</v>
      </c>
      <c r="C240" s="126" t="s">
        <v>378</v>
      </c>
      <c r="D240" s="129">
        <v>149779</v>
      </c>
      <c r="E240" s="135">
        <v>103795888</v>
      </c>
      <c r="F240" s="132">
        <v>116477238</v>
      </c>
      <c r="G240" s="139">
        <f t="shared" si="15"/>
        <v>-12681350</v>
      </c>
      <c r="H240" s="143">
        <v>21927587.46</v>
      </c>
      <c r="I240" s="144">
        <v>0</v>
      </c>
      <c r="J240" s="34">
        <f t="shared" si="16"/>
        <v>146.39961182809338</v>
      </c>
      <c r="K240" s="47">
        <f t="shared" si="17"/>
        <v>0</v>
      </c>
      <c r="L240" s="45">
        <f t="shared" si="18"/>
        <v>21.12568029669923</v>
      </c>
      <c r="M240" s="46">
        <f t="shared" si="19"/>
        <v>0</v>
      </c>
    </row>
    <row r="241" spans="1:13" ht="12.75">
      <c r="A241" s="122" t="s">
        <v>37</v>
      </c>
      <c r="B241" s="119" t="s">
        <v>133</v>
      </c>
      <c r="C241" s="126" t="s">
        <v>379</v>
      </c>
      <c r="D241" s="129">
        <v>73713</v>
      </c>
      <c r="E241" s="135">
        <v>70659384</v>
      </c>
      <c r="F241" s="132">
        <v>77813201</v>
      </c>
      <c r="G241" s="139">
        <f t="shared" si="15"/>
        <v>-7153817</v>
      </c>
      <c r="H241" s="143">
        <v>3864742.97</v>
      </c>
      <c r="I241" s="144">
        <v>172.97</v>
      </c>
      <c r="J241" s="34">
        <f t="shared" si="16"/>
        <v>52.42959817128594</v>
      </c>
      <c r="K241" s="47">
        <f t="shared" si="17"/>
        <v>0.0023465331759662473</v>
      </c>
      <c r="L241" s="45">
        <f t="shared" si="18"/>
        <v>5.469539573116007</v>
      </c>
      <c r="M241" s="46">
        <f t="shared" si="19"/>
        <v>0.0002447940955726418</v>
      </c>
    </row>
    <row r="242" spans="1:13" ht="12.75">
      <c r="A242" s="122" t="s">
        <v>37</v>
      </c>
      <c r="B242" s="119" t="s">
        <v>13</v>
      </c>
      <c r="C242" s="126" t="s">
        <v>380</v>
      </c>
      <c r="D242" s="129">
        <v>89325</v>
      </c>
      <c r="E242" s="135">
        <v>62998260</v>
      </c>
      <c r="F242" s="132">
        <v>64409660</v>
      </c>
      <c r="G242" s="139">
        <f t="shared" si="15"/>
        <v>-1411400</v>
      </c>
      <c r="H242" s="143">
        <v>21326761.36</v>
      </c>
      <c r="I242" s="144">
        <v>0</v>
      </c>
      <c r="J242" s="34">
        <f t="shared" si="16"/>
        <v>238.75467517492302</v>
      </c>
      <c r="K242" s="47">
        <f t="shared" si="17"/>
        <v>0</v>
      </c>
      <c r="L242" s="45">
        <f t="shared" si="18"/>
        <v>33.8529371446132</v>
      </c>
      <c r="M242" s="46">
        <f t="shared" si="19"/>
        <v>0</v>
      </c>
    </row>
    <row r="243" spans="1:13" ht="12.75">
      <c r="A243" s="122" t="s">
        <v>37</v>
      </c>
      <c r="B243" s="119" t="s">
        <v>136</v>
      </c>
      <c r="C243" s="126" t="s">
        <v>381</v>
      </c>
      <c r="D243" s="129">
        <v>35646</v>
      </c>
      <c r="E243" s="135">
        <v>27496156</v>
      </c>
      <c r="F243" s="132">
        <v>27896156</v>
      </c>
      <c r="G243" s="139">
        <f t="shared" si="15"/>
        <v>-400000</v>
      </c>
      <c r="H243" s="143">
        <v>7669268</v>
      </c>
      <c r="I243" s="144">
        <v>0</v>
      </c>
      <c r="J243" s="34">
        <f t="shared" si="16"/>
        <v>215.15087246815912</v>
      </c>
      <c r="K243" s="47">
        <f t="shared" si="17"/>
        <v>0</v>
      </c>
      <c r="L243" s="45">
        <f t="shared" si="18"/>
        <v>27.892146087620397</v>
      </c>
      <c r="M243" s="46">
        <f t="shared" si="19"/>
        <v>0</v>
      </c>
    </row>
    <row r="244" spans="1:13" ht="12.75">
      <c r="A244" s="122" t="s">
        <v>37</v>
      </c>
      <c r="B244" s="119" t="s">
        <v>15</v>
      </c>
      <c r="C244" s="126" t="s">
        <v>382</v>
      </c>
      <c r="D244" s="129">
        <v>198857</v>
      </c>
      <c r="E244" s="135">
        <v>92377054</v>
      </c>
      <c r="F244" s="132">
        <v>103995792</v>
      </c>
      <c r="G244" s="139">
        <f t="shared" si="15"/>
        <v>-11618738</v>
      </c>
      <c r="H244" s="143">
        <v>13860255.56</v>
      </c>
      <c r="I244" s="144">
        <v>63649.56</v>
      </c>
      <c r="J244" s="34">
        <f t="shared" si="16"/>
        <v>69.69961107730681</v>
      </c>
      <c r="K244" s="47">
        <f t="shared" si="17"/>
        <v>0.3200770402852301</v>
      </c>
      <c r="L244" s="45">
        <f t="shared" si="18"/>
        <v>15.00400257405914</v>
      </c>
      <c r="M244" s="46">
        <f t="shared" si="19"/>
        <v>0.0689019158372381</v>
      </c>
    </row>
    <row r="245" spans="1:13" ht="12.75">
      <c r="A245" s="122" t="s">
        <v>37</v>
      </c>
      <c r="B245" s="119" t="s">
        <v>139</v>
      </c>
      <c r="C245" s="126" t="s">
        <v>383</v>
      </c>
      <c r="D245" s="129">
        <v>84036</v>
      </c>
      <c r="E245" s="135">
        <v>53476101</v>
      </c>
      <c r="F245" s="132">
        <v>54856946</v>
      </c>
      <c r="G245" s="139">
        <f t="shared" si="15"/>
        <v>-1380845</v>
      </c>
      <c r="H245" s="143">
        <v>1750014</v>
      </c>
      <c r="I245" s="144">
        <v>0</v>
      </c>
      <c r="J245" s="34">
        <f t="shared" si="16"/>
        <v>20.82457518206483</v>
      </c>
      <c r="K245" s="47">
        <f t="shared" si="17"/>
        <v>0</v>
      </c>
      <c r="L245" s="45">
        <f t="shared" si="18"/>
        <v>3.2725160721796076</v>
      </c>
      <c r="M245" s="46">
        <f t="shared" si="19"/>
        <v>0</v>
      </c>
    </row>
    <row r="246" spans="1:13" ht="12.75">
      <c r="A246" s="122" t="s">
        <v>37</v>
      </c>
      <c r="B246" s="119" t="s">
        <v>17</v>
      </c>
      <c r="C246" s="126" t="s">
        <v>384</v>
      </c>
      <c r="D246" s="129">
        <v>56543</v>
      </c>
      <c r="E246" s="135">
        <v>72844308</v>
      </c>
      <c r="F246" s="132">
        <v>72797086</v>
      </c>
      <c r="G246" s="139">
        <f t="shared" si="15"/>
        <v>47222</v>
      </c>
      <c r="H246" s="143">
        <v>3749995.07</v>
      </c>
      <c r="I246" s="144">
        <v>0</v>
      </c>
      <c r="J246" s="34">
        <f t="shared" si="16"/>
        <v>66.3211196788285</v>
      </c>
      <c r="K246" s="47">
        <f t="shared" si="17"/>
        <v>0</v>
      </c>
      <c r="L246" s="45">
        <f t="shared" si="18"/>
        <v>5.1479589455362795</v>
      </c>
      <c r="M246" s="46">
        <f t="shared" si="19"/>
        <v>0</v>
      </c>
    </row>
    <row r="247" spans="1:13" ht="12.75">
      <c r="A247" s="122" t="s">
        <v>37</v>
      </c>
      <c r="B247" s="119" t="s">
        <v>142</v>
      </c>
      <c r="C247" s="126" t="s">
        <v>385</v>
      </c>
      <c r="D247" s="129">
        <v>115859</v>
      </c>
      <c r="E247" s="135">
        <v>86340389.18</v>
      </c>
      <c r="F247" s="132">
        <v>89080628.82</v>
      </c>
      <c r="G247" s="139">
        <f t="shared" si="15"/>
        <v>-2740239.6399999857</v>
      </c>
      <c r="H247" s="143">
        <v>22831802.01</v>
      </c>
      <c r="I247" s="144">
        <v>0</v>
      </c>
      <c r="J247" s="34">
        <f t="shared" si="16"/>
        <v>197.06541580714492</v>
      </c>
      <c r="K247" s="47">
        <f t="shared" si="17"/>
        <v>0</v>
      </c>
      <c r="L247" s="45">
        <f t="shared" si="18"/>
        <v>26.44394150505959</v>
      </c>
      <c r="M247" s="46">
        <f t="shared" si="19"/>
        <v>0</v>
      </c>
    </row>
    <row r="248" spans="1:13" ht="12.75">
      <c r="A248" s="122" t="s">
        <v>37</v>
      </c>
      <c r="B248" s="119" t="s">
        <v>19</v>
      </c>
      <c r="C248" s="126" t="s">
        <v>386</v>
      </c>
      <c r="D248" s="129">
        <v>42071</v>
      </c>
      <c r="E248" s="135">
        <v>30980988</v>
      </c>
      <c r="F248" s="132">
        <v>30075228</v>
      </c>
      <c r="G248" s="139">
        <f t="shared" si="15"/>
        <v>905760</v>
      </c>
      <c r="H248" s="143">
        <v>9858811.56</v>
      </c>
      <c r="I248" s="144">
        <v>40478.22</v>
      </c>
      <c r="J248" s="34">
        <f t="shared" si="16"/>
        <v>234.33746666349742</v>
      </c>
      <c r="K248" s="47">
        <f t="shared" si="17"/>
        <v>0.962140666967745</v>
      </c>
      <c r="L248" s="45">
        <f t="shared" si="18"/>
        <v>31.822134142397267</v>
      </c>
      <c r="M248" s="46">
        <f t="shared" si="19"/>
        <v>0.1306550326929535</v>
      </c>
    </row>
    <row r="249" spans="1:13" ht="12.75">
      <c r="A249" s="122" t="s">
        <v>37</v>
      </c>
      <c r="B249" s="119" t="s">
        <v>145</v>
      </c>
      <c r="C249" s="126" t="s">
        <v>387</v>
      </c>
      <c r="D249" s="129">
        <v>81491</v>
      </c>
      <c r="E249" s="135">
        <v>62496547</v>
      </c>
      <c r="F249" s="132">
        <v>64009703</v>
      </c>
      <c r="G249" s="139">
        <f t="shared" si="15"/>
        <v>-1513156</v>
      </c>
      <c r="H249" s="143">
        <v>4383520.26</v>
      </c>
      <c r="I249" s="144">
        <v>0</v>
      </c>
      <c r="J249" s="34">
        <f t="shared" si="16"/>
        <v>53.79146482433643</v>
      </c>
      <c r="K249" s="47">
        <f t="shared" si="17"/>
        <v>0</v>
      </c>
      <c r="L249" s="45">
        <f t="shared" si="18"/>
        <v>7.014019926572904</v>
      </c>
      <c r="M249" s="46">
        <f t="shared" si="19"/>
        <v>0</v>
      </c>
    </row>
    <row r="250" spans="1:13" ht="12.75">
      <c r="A250" s="122" t="s">
        <v>37</v>
      </c>
      <c r="B250" s="119" t="s">
        <v>21</v>
      </c>
      <c r="C250" s="126" t="s">
        <v>388</v>
      </c>
      <c r="D250" s="129">
        <v>79730</v>
      </c>
      <c r="E250" s="135">
        <v>68287026</v>
      </c>
      <c r="F250" s="132">
        <v>74501865</v>
      </c>
      <c r="G250" s="139">
        <f t="shared" si="15"/>
        <v>-6214839</v>
      </c>
      <c r="H250" s="143">
        <v>972000</v>
      </c>
      <c r="I250" s="144">
        <v>0</v>
      </c>
      <c r="J250" s="34">
        <f t="shared" si="16"/>
        <v>12.191145114762323</v>
      </c>
      <c r="K250" s="47">
        <f t="shared" si="17"/>
        <v>0</v>
      </c>
      <c r="L250" s="45">
        <f t="shared" si="18"/>
        <v>1.4234036198911342</v>
      </c>
      <c r="M250" s="46">
        <f t="shared" si="19"/>
        <v>0</v>
      </c>
    </row>
    <row r="251" spans="1:13" ht="12.75">
      <c r="A251" s="122" t="s">
        <v>37</v>
      </c>
      <c r="B251" s="119" t="s">
        <v>148</v>
      </c>
      <c r="C251" s="126" t="s">
        <v>389</v>
      </c>
      <c r="D251" s="129">
        <v>94294</v>
      </c>
      <c r="E251" s="135">
        <v>67385657</v>
      </c>
      <c r="F251" s="132">
        <v>76373851</v>
      </c>
      <c r="G251" s="139">
        <f t="shared" si="15"/>
        <v>-8988194</v>
      </c>
      <c r="H251" s="143">
        <v>6393000</v>
      </c>
      <c r="I251" s="144">
        <v>0</v>
      </c>
      <c r="J251" s="34">
        <f t="shared" si="16"/>
        <v>67.79858739686513</v>
      </c>
      <c r="K251" s="47">
        <f t="shared" si="17"/>
        <v>0</v>
      </c>
      <c r="L251" s="45">
        <f t="shared" si="18"/>
        <v>9.487182116514795</v>
      </c>
      <c r="M251" s="46">
        <f t="shared" si="19"/>
        <v>0</v>
      </c>
    </row>
    <row r="252" spans="1:13" ht="12.75">
      <c r="A252" s="122" t="s">
        <v>37</v>
      </c>
      <c r="B252" s="119" t="s">
        <v>23</v>
      </c>
      <c r="C252" s="126" t="s">
        <v>390</v>
      </c>
      <c r="D252" s="129">
        <v>73955</v>
      </c>
      <c r="E252" s="135">
        <v>53433870.24</v>
      </c>
      <c r="F252" s="132">
        <v>53660870.239999995</v>
      </c>
      <c r="G252" s="139">
        <f t="shared" si="15"/>
        <v>-226999.99999999255</v>
      </c>
      <c r="H252" s="143">
        <v>11100905</v>
      </c>
      <c r="I252" s="144">
        <v>0</v>
      </c>
      <c r="J252" s="34">
        <f t="shared" si="16"/>
        <v>150.10350889054155</v>
      </c>
      <c r="K252" s="47">
        <f t="shared" si="17"/>
        <v>0</v>
      </c>
      <c r="L252" s="45">
        <f t="shared" si="18"/>
        <v>20.775034542959204</v>
      </c>
      <c r="M252" s="46">
        <f t="shared" si="19"/>
        <v>0</v>
      </c>
    </row>
    <row r="253" spans="1:13" ht="12.75">
      <c r="A253" s="122" t="s">
        <v>37</v>
      </c>
      <c r="B253" s="119" t="s">
        <v>151</v>
      </c>
      <c r="C253" s="126" t="s">
        <v>391</v>
      </c>
      <c r="D253" s="129">
        <v>47130</v>
      </c>
      <c r="E253" s="135">
        <v>32525947</v>
      </c>
      <c r="F253" s="132">
        <v>33944081</v>
      </c>
      <c r="G253" s="139">
        <f t="shared" si="15"/>
        <v>-1418134</v>
      </c>
      <c r="H253" s="143">
        <v>1346753</v>
      </c>
      <c r="I253" s="144">
        <v>0</v>
      </c>
      <c r="J253" s="34">
        <f t="shared" si="16"/>
        <v>28.575281137279863</v>
      </c>
      <c r="K253" s="47">
        <f t="shared" si="17"/>
        <v>0</v>
      </c>
      <c r="L253" s="45">
        <f t="shared" si="18"/>
        <v>4.140549697138718</v>
      </c>
      <c r="M253" s="46">
        <f t="shared" si="19"/>
        <v>0</v>
      </c>
    </row>
    <row r="254" spans="1:13" ht="12.75">
      <c r="A254" s="122" t="s">
        <v>39</v>
      </c>
      <c r="B254" s="119" t="s">
        <v>133</v>
      </c>
      <c r="C254" s="126" t="s">
        <v>392</v>
      </c>
      <c r="D254" s="129">
        <v>61219</v>
      </c>
      <c r="E254" s="135">
        <v>44932429.72</v>
      </c>
      <c r="F254" s="132">
        <v>49064210.72</v>
      </c>
      <c r="G254" s="139">
        <f t="shared" si="15"/>
        <v>-4131781</v>
      </c>
      <c r="H254" s="143">
        <v>10629343.13</v>
      </c>
      <c r="I254" s="144">
        <v>0</v>
      </c>
      <c r="J254" s="34">
        <f t="shared" si="16"/>
        <v>173.62817311618943</v>
      </c>
      <c r="K254" s="47">
        <f t="shared" si="17"/>
        <v>0</v>
      </c>
      <c r="L254" s="45">
        <f t="shared" si="18"/>
        <v>23.656283882793776</v>
      </c>
      <c r="M254" s="46">
        <f t="shared" si="19"/>
        <v>0</v>
      </c>
    </row>
    <row r="255" spans="1:13" ht="12.75">
      <c r="A255" s="122" t="s">
        <v>39</v>
      </c>
      <c r="B255" s="119" t="s">
        <v>13</v>
      </c>
      <c r="C255" s="126" t="s">
        <v>393</v>
      </c>
      <c r="D255" s="129">
        <v>43531</v>
      </c>
      <c r="E255" s="135">
        <v>34375550</v>
      </c>
      <c r="F255" s="132">
        <v>35017790</v>
      </c>
      <c r="G255" s="139">
        <f t="shared" si="15"/>
        <v>-642240</v>
      </c>
      <c r="H255" s="143">
        <v>8952706.11</v>
      </c>
      <c r="I255" s="144">
        <v>0</v>
      </c>
      <c r="J255" s="34">
        <f t="shared" si="16"/>
        <v>205.66277158806366</v>
      </c>
      <c r="K255" s="47">
        <f t="shared" si="17"/>
        <v>0</v>
      </c>
      <c r="L255" s="45">
        <f t="shared" si="18"/>
        <v>26.043819255255553</v>
      </c>
      <c r="M255" s="46">
        <f t="shared" si="19"/>
        <v>0</v>
      </c>
    </row>
    <row r="256" spans="1:13" ht="12.75">
      <c r="A256" s="122" t="s">
        <v>39</v>
      </c>
      <c r="B256" s="119" t="s">
        <v>136</v>
      </c>
      <c r="C256" s="126" t="s">
        <v>394</v>
      </c>
      <c r="D256" s="129">
        <v>65025</v>
      </c>
      <c r="E256" s="135">
        <v>42499639</v>
      </c>
      <c r="F256" s="132">
        <v>51001068</v>
      </c>
      <c r="G256" s="139">
        <f t="shared" si="15"/>
        <v>-8501429</v>
      </c>
      <c r="H256" s="143">
        <v>1002949.45</v>
      </c>
      <c r="I256" s="144">
        <v>5825.69</v>
      </c>
      <c r="J256" s="34">
        <f t="shared" si="16"/>
        <v>15.424059207996924</v>
      </c>
      <c r="K256" s="47">
        <f t="shared" si="17"/>
        <v>0.0895915417147251</v>
      </c>
      <c r="L256" s="45">
        <f t="shared" si="18"/>
        <v>2.359901104101143</v>
      </c>
      <c r="M256" s="46">
        <f t="shared" si="19"/>
        <v>0.013707622316509559</v>
      </c>
    </row>
    <row r="257" spans="1:13" ht="12.75">
      <c r="A257" s="122" t="s">
        <v>39</v>
      </c>
      <c r="B257" s="119" t="s">
        <v>15</v>
      </c>
      <c r="C257" s="126" t="s">
        <v>395</v>
      </c>
      <c r="D257" s="129">
        <v>56466</v>
      </c>
      <c r="E257" s="135">
        <v>33846091</v>
      </c>
      <c r="F257" s="132">
        <v>33478410</v>
      </c>
      <c r="G257" s="139">
        <f t="shared" si="15"/>
        <v>367681</v>
      </c>
      <c r="H257" s="143">
        <v>11306109.17</v>
      </c>
      <c r="I257" s="144">
        <v>4067</v>
      </c>
      <c r="J257" s="34">
        <f t="shared" si="16"/>
        <v>200.22861846066658</v>
      </c>
      <c r="K257" s="47">
        <f t="shared" si="17"/>
        <v>0.07202564375022137</v>
      </c>
      <c r="L257" s="45">
        <f t="shared" si="18"/>
        <v>33.40447548285561</v>
      </c>
      <c r="M257" s="46">
        <f t="shared" si="19"/>
        <v>0.012016158675458268</v>
      </c>
    </row>
    <row r="258" spans="1:13" ht="12.75">
      <c r="A258" s="122" t="s">
        <v>39</v>
      </c>
      <c r="B258" s="119" t="s">
        <v>139</v>
      </c>
      <c r="C258" s="126" t="s">
        <v>396</v>
      </c>
      <c r="D258" s="129">
        <v>85020</v>
      </c>
      <c r="E258" s="135">
        <v>92779986</v>
      </c>
      <c r="F258" s="132">
        <v>99663044</v>
      </c>
      <c r="G258" s="139">
        <f t="shared" si="15"/>
        <v>-6883058</v>
      </c>
      <c r="H258" s="143">
        <v>11938015.73</v>
      </c>
      <c r="I258" s="144">
        <v>0</v>
      </c>
      <c r="J258" s="34">
        <f t="shared" si="16"/>
        <v>140.41420524582452</v>
      </c>
      <c r="K258" s="47">
        <f t="shared" si="17"/>
        <v>0</v>
      </c>
      <c r="L258" s="45">
        <f t="shared" si="18"/>
        <v>12.867016093319956</v>
      </c>
      <c r="M258" s="46">
        <f t="shared" si="19"/>
        <v>0</v>
      </c>
    </row>
    <row r="259" spans="1:13" ht="12.75">
      <c r="A259" s="122" t="s">
        <v>39</v>
      </c>
      <c r="B259" s="119" t="s">
        <v>17</v>
      </c>
      <c r="C259" s="126" t="s">
        <v>397</v>
      </c>
      <c r="D259" s="129">
        <v>56816</v>
      </c>
      <c r="E259" s="135">
        <v>53231839</v>
      </c>
      <c r="F259" s="132">
        <v>52483835</v>
      </c>
      <c r="G259" s="139">
        <f t="shared" si="15"/>
        <v>748004</v>
      </c>
      <c r="H259" s="143">
        <v>4349600</v>
      </c>
      <c r="I259" s="144">
        <v>0</v>
      </c>
      <c r="J259" s="34">
        <f t="shared" si="16"/>
        <v>76.55589974655027</v>
      </c>
      <c r="K259" s="47">
        <f t="shared" si="17"/>
        <v>0</v>
      </c>
      <c r="L259" s="45">
        <f t="shared" si="18"/>
        <v>8.171049660711516</v>
      </c>
      <c r="M259" s="46">
        <f t="shared" si="19"/>
        <v>0</v>
      </c>
    </row>
    <row r="260" spans="1:13" ht="12.75">
      <c r="A260" s="122" t="s">
        <v>39</v>
      </c>
      <c r="B260" s="119" t="s">
        <v>142</v>
      </c>
      <c r="C260" s="126" t="s">
        <v>398</v>
      </c>
      <c r="D260" s="129">
        <v>89946</v>
      </c>
      <c r="E260" s="135">
        <v>64381665</v>
      </c>
      <c r="F260" s="132">
        <v>68939886</v>
      </c>
      <c r="G260" s="139">
        <f t="shared" si="15"/>
        <v>-4558221</v>
      </c>
      <c r="H260" s="143">
        <v>23175971</v>
      </c>
      <c r="I260" s="144">
        <v>0</v>
      </c>
      <c r="J260" s="34">
        <f t="shared" si="16"/>
        <v>257.66538812176196</v>
      </c>
      <c r="K260" s="47">
        <f t="shared" si="17"/>
        <v>0</v>
      </c>
      <c r="L260" s="45">
        <f t="shared" si="18"/>
        <v>35.99778135591865</v>
      </c>
      <c r="M260" s="46">
        <f t="shared" si="19"/>
        <v>0</v>
      </c>
    </row>
    <row r="261" spans="1:13" ht="12.75">
      <c r="A261" s="122" t="s">
        <v>39</v>
      </c>
      <c r="B261" s="119" t="s">
        <v>19</v>
      </c>
      <c r="C261" s="126" t="s">
        <v>399</v>
      </c>
      <c r="D261" s="129">
        <v>66285</v>
      </c>
      <c r="E261" s="135">
        <v>53327051</v>
      </c>
      <c r="F261" s="132">
        <v>58243431</v>
      </c>
      <c r="G261" s="139">
        <f t="shared" si="15"/>
        <v>-4916380</v>
      </c>
      <c r="H261" s="143">
        <v>19919458.81</v>
      </c>
      <c r="I261" s="144">
        <v>92.77</v>
      </c>
      <c r="J261" s="34">
        <f t="shared" si="16"/>
        <v>300.5123151542581</v>
      </c>
      <c r="K261" s="47">
        <f t="shared" si="17"/>
        <v>0.0013995624952855095</v>
      </c>
      <c r="L261" s="45">
        <f t="shared" si="18"/>
        <v>37.35338526407544</v>
      </c>
      <c r="M261" s="46">
        <f t="shared" si="19"/>
        <v>0.00017396424190041935</v>
      </c>
    </row>
    <row r="262" spans="1:13" ht="12.75">
      <c r="A262" s="122" t="s">
        <v>39</v>
      </c>
      <c r="B262" s="119" t="s">
        <v>145</v>
      </c>
      <c r="C262" s="126" t="s">
        <v>400</v>
      </c>
      <c r="D262" s="129">
        <v>42823</v>
      </c>
      <c r="E262" s="135">
        <v>36233572</v>
      </c>
      <c r="F262" s="132">
        <v>43313294</v>
      </c>
      <c r="G262" s="139">
        <f t="shared" si="15"/>
        <v>-7079722</v>
      </c>
      <c r="H262" s="143">
        <v>8990963</v>
      </c>
      <c r="I262" s="144">
        <v>29838.6</v>
      </c>
      <c r="J262" s="34">
        <f t="shared" si="16"/>
        <v>209.95640193354038</v>
      </c>
      <c r="K262" s="47">
        <f t="shared" si="17"/>
        <v>0.6967891086565631</v>
      </c>
      <c r="L262" s="45">
        <f t="shared" si="18"/>
        <v>24.81390186979081</v>
      </c>
      <c r="M262" s="46">
        <f t="shared" si="19"/>
        <v>0.08235069951149171</v>
      </c>
    </row>
    <row r="263" spans="1:13" ht="12.75">
      <c r="A263" s="122" t="s">
        <v>39</v>
      </c>
      <c r="B263" s="119" t="s">
        <v>21</v>
      </c>
      <c r="C263" s="126" t="s">
        <v>401</v>
      </c>
      <c r="D263" s="129">
        <v>50046</v>
      </c>
      <c r="E263" s="135">
        <v>43866274</v>
      </c>
      <c r="F263" s="132">
        <v>46930117</v>
      </c>
      <c r="G263" s="139">
        <f t="shared" si="15"/>
        <v>-3063843</v>
      </c>
      <c r="H263" s="143">
        <v>7340400</v>
      </c>
      <c r="I263" s="144">
        <v>0</v>
      </c>
      <c r="J263" s="34">
        <f t="shared" si="16"/>
        <v>146.67306078407864</v>
      </c>
      <c r="K263" s="47">
        <f t="shared" si="17"/>
        <v>0</v>
      </c>
      <c r="L263" s="45">
        <f t="shared" si="18"/>
        <v>16.733584438924538</v>
      </c>
      <c r="M263" s="46">
        <f t="shared" si="19"/>
        <v>0</v>
      </c>
    </row>
    <row r="264" spans="1:13" ht="12.75">
      <c r="A264" s="122" t="s">
        <v>39</v>
      </c>
      <c r="B264" s="119" t="s">
        <v>148</v>
      </c>
      <c r="C264" s="126" t="s">
        <v>402</v>
      </c>
      <c r="D264" s="129">
        <v>33892</v>
      </c>
      <c r="E264" s="135">
        <v>32697942</v>
      </c>
      <c r="F264" s="132">
        <v>34691097</v>
      </c>
      <c r="G264" s="139">
        <f aca="true" t="shared" si="20" ref="G264:G321">E264-F264</f>
        <v>-1993155</v>
      </c>
      <c r="H264" s="143">
        <v>4551885.01</v>
      </c>
      <c r="I264" s="144">
        <v>21407.01</v>
      </c>
      <c r="J264" s="34">
        <f aca="true" t="shared" si="21" ref="J264:J322">H264/D264</f>
        <v>134.305588634486</v>
      </c>
      <c r="K264" s="47">
        <f aca="true" t="shared" si="22" ref="K264:K322">I264/D264</f>
        <v>0.6316242771155435</v>
      </c>
      <c r="L264" s="45">
        <f aca="true" t="shared" si="23" ref="L264:L322">H264/E264*100</f>
        <v>13.92101377511771</v>
      </c>
      <c r="M264" s="46">
        <f aca="true" t="shared" si="24" ref="M264:M322">I264/E264*100</f>
        <v>0.06546898272680281</v>
      </c>
    </row>
    <row r="265" spans="1:13" ht="12.75">
      <c r="A265" s="122" t="s">
        <v>39</v>
      </c>
      <c r="B265" s="119" t="s">
        <v>23</v>
      </c>
      <c r="C265" s="126" t="s">
        <v>403</v>
      </c>
      <c r="D265" s="129">
        <v>43509</v>
      </c>
      <c r="E265" s="135">
        <v>25737838</v>
      </c>
      <c r="F265" s="132">
        <v>27361838</v>
      </c>
      <c r="G265" s="139">
        <f t="shared" si="20"/>
        <v>-1624000</v>
      </c>
      <c r="H265" s="143">
        <v>8125000</v>
      </c>
      <c r="I265" s="144">
        <v>0</v>
      </c>
      <c r="J265" s="34">
        <f t="shared" si="21"/>
        <v>186.74297271828817</v>
      </c>
      <c r="K265" s="47">
        <f t="shared" si="22"/>
        <v>0</v>
      </c>
      <c r="L265" s="45">
        <f t="shared" si="23"/>
        <v>31.56830810730878</v>
      </c>
      <c r="M265" s="46">
        <f t="shared" si="24"/>
        <v>0</v>
      </c>
    </row>
    <row r="266" spans="1:13" ht="12.75">
      <c r="A266" s="122" t="s">
        <v>39</v>
      </c>
      <c r="B266" s="119" t="s">
        <v>151</v>
      </c>
      <c r="C266" s="126" t="s">
        <v>404</v>
      </c>
      <c r="D266" s="129">
        <v>34367</v>
      </c>
      <c r="E266" s="135">
        <v>35404441</v>
      </c>
      <c r="F266" s="132">
        <v>35871731</v>
      </c>
      <c r="G266" s="139">
        <f t="shared" si="20"/>
        <v>-467290</v>
      </c>
      <c r="H266" s="143">
        <v>10089938.05</v>
      </c>
      <c r="I266" s="144">
        <v>0</v>
      </c>
      <c r="J266" s="34">
        <f t="shared" si="21"/>
        <v>293.593797829313</v>
      </c>
      <c r="K266" s="47">
        <f t="shared" si="22"/>
        <v>0</v>
      </c>
      <c r="L266" s="45">
        <f t="shared" si="23"/>
        <v>28.49907459349521</v>
      </c>
      <c r="M266" s="46">
        <f t="shared" si="24"/>
        <v>0</v>
      </c>
    </row>
    <row r="267" spans="1:13" ht="12.75">
      <c r="A267" s="122" t="s">
        <v>39</v>
      </c>
      <c r="B267" s="119" t="s">
        <v>25</v>
      </c>
      <c r="C267" s="126" t="s">
        <v>405</v>
      </c>
      <c r="D267" s="129">
        <v>113848</v>
      </c>
      <c r="E267" s="135">
        <v>81950638</v>
      </c>
      <c r="F267" s="132">
        <v>84365109</v>
      </c>
      <c r="G267" s="139">
        <f t="shared" si="20"/>
        <v>-2414471</v>
      </c>
      <c r="H267" s="143">
        <v>29495930.72</v>
      </c>
      <c r="I267" s="144">
        <v>139830.7</v>
      </c>
      <c r="J267" s="34">
        <f t="shared" si="21"/>
        <v>259.0816766214602</v>
      </c>
      <c r="K267" s="47">
        <f t="shared" si="22"/>
        <v>1.2282227180099783</v>
      </c>
      <c r="L267" s="45">
        <f t="shared" si="23"/>
        <v>35.99231371450702</v>
      </c>
      <c r="M267" s="46">
        <f t="shared" si="24"/>
        <v>0.1706279577713599</v>
      </c>
    </row>
    <row r="268" spans="1:13" ht="12.75">
      <c r="A268" s="122" t="s">
        <v>39</v>
      </c>
      <c r="B268" s="119" t="s">
        <v>154</v>
      </c>
      <c r="C268" s="126" t="s">
        <v>406</v>
      </c>
      <c r="D268" s="129">
        <v>105154</v>
      </c>
      <c r="E268" s="135">
        <v>92097343</v>
      </c>
      <c r="F268" s="132">
        <v>97655584</v>
      </c>
      <c r="G268" s="139">
        <f t="shared" si="20"/>
        <v>-5558241</v>
      </c>
      <c r="H268" s="143">
        <v>22361845.59</v>
      </c>
      <c r="I268" s="144">
        <v>785.59</v>
      </c>
      <c r="J268" s="34">
        <f t="shared" si="21"/>
        <v>212.6580595127147</v>
      </c>
      <c r="K268" s="47">
        <f t="shared" si="22"/>
        <v>0.007470852273807939</v>
      </c>
      <c r="L268" s="45">
        <f t="shared" si="23"/>
        <v>24.280663113158433</v>
      </c>
      <c r="M268" s="46">
        <f t="shared" si="24"/>
        <v>0.0008529996353966476</v>
      </c>
    </row>
    <row r="269" spans="1:13" ht="12.75">
      <c r="A269" s="122" t="s">
        <v>39</v>
      </c>
      <c r="B269" s="119" t="s">
        <v>27</v>
      </c>
      <c r="C269" s="126" t="s">
        <v>407</v>
      </c>
      <c r="D269" s="129">
        <v>57563</v>
      </c>
      <c r="E269" s="135">
        <v>43882251</v>
      </c>
      <c r="F269" s="132">
        <v>47266721</v>
      </c>
      <c r="G269" s="139">
        <f t="shared" si="20"/>
        <v>-3384470</v>
      </c>
      <c r="H269" s="143">
        <v>3534003.27</v>
      </c>
      <c r="I269" s="144">
        <v>188.3</v>
      </c>
      <c r="J269" s="34">
        <f t="shared" si="21"/>
        <v>61.39366033736949</v>
      </c>
      <c r="K269" s="47">
        <f t="shared" si="22"/>
        <v>0.0032711985129336555</v>
      </c>
      <c r="L269" s="45">
        <f t="shared" si="23"/>
        <v>8.053377366625973</v>
      </c>
      <c r="M269" s="46">
        <f t="shared" si="24"/>
        <v>0.00042910287350573703</v>
      </c>
    </row>
    <row r="270" spans="1:13" ht="12.75">
      <c r="A270" s="122" t="s">
        <v>39</v>
      </c>
      <c r="B270" s="119" t="s">
        <v>157</v>
      </c>
      <c r="C270" s="126" t="s">
        <v>408</v>
      </c>
      <c r="D270" s="129">
        <v>69327</v>
      </c>
      <c r="E270" s="135">
        <v>79483607</v>
      </c>
      <c r="F270" s="132">
        <v>85368346</v>
      </c>
      <c r="G270" s="139">
        <f t="shared" si="20"/>
        <v>-5884739</v>
      </c>
      <c r="H270" s="143">
        <v>4104502.64</v>
      </c>
      <c r="I270" s="144">
        <v>77669.8</v>
      </c>
      <c r="J270" s="34">
        <f t="shared" si="21"/>
        <v>59.204965453575085</v>
      </c>
      <c r="K270" s="47">
        <f t="shared" si="22"/>
        <v>1.1203398387352692</v>
      </c>
      <c r="L270" s="45">
        <f t="shared" si="23"/>
        <v>5.163961217814386</v>
      </c>
      <c r="M270" s="46">
        <f t="shared" si="24"/>
        <v>0.09771801121204779</v>
      </c>
    </row>
    <row r="271" spans="1:13" ht="12.75">
      <c r="A271" s="122" t="s">
        <v>39</v>
      </c>
      <c r="B271" s="119" t="s">
        <v>29</v>
      </c>
      <c r="C271" s="126" t="s">
        <v>409</v>
      </c>
      <c r="D271" s="129">
        <v>26649</v>
      </c>
      <c r="E271" s="135">
        <v>21484641</v>
      </c>
      <c r="F271" s="132">
        <v>24025270</v>
      </c>
      <c r="G271" s="139">
        <f t="shared" si="20"/>
        <v>-2540629</v>
      </c>
      <c r="H271" s="143">
        <v>1672827</v>
      </c>
      <c r="I271" s="144">
        <v>0</v>
      </c>
      <c r="J271" s="34">
        <f t="shared" si="21"/>
        <v>62.772599347067434</v>
      </c>
      <c r="K271" s="47">
        <f t="shared" si="22"/>
        <v>0</v>
      </c>
      <c r="L271" s="45">
        <f t="shared" si="23"/>
        <v>7.786152908023923</v>
      </c>
      <c r="M271" s="46">
        <f t="shared" si="24"/>
        <v>0</v>
      </c>
    </row>
    <row r="272" spans="1:13" ht="12.75">
      <c r="A272" s="122" t="s">
        <v>39</v>
      </c>
      <c r="B272" s="119" t="s">
        <v>160</v>
      </c>
      <c r="C272" s="126" t="s">
        <v>410</v>
      </c>
      <c r="D272" s="129">
        <v>23471</v>
      </c>
      <c r="E272" s="135">
        <v>26160961</v>
      </c>
      <c r="F272" s="132">
        <v>29427752</v>
      </c>
      <c r="G272" s="139">
        <f t="shared" si="20"/>
        <v>-3266791</v>
      </c>
      <c r="H272" s="143">
        <v>9881312.43</v>
      </c>
      <c r="I272" s="144">
        <v>0</v>
      </c>
      <c r="J272" s="34">
        <f t="shared" si="21"/>
        <v>421.00091304162584</v>
      </c>
      <c r="K272" s="47">
        <f t="shared" si="22"/>
        <v>0</v>
      </c>
      <c r="L272" s="45">
        <f t="shared" si="23"/>
        <v>37.7712134886788</v>
      </c>
      <c r="M272" s="46">
        <f t="shared" si="24"/>
        <v>0</v>
      </c>
    </row>
    <row r="273" spans="1:13" ht="12.75">
      <c r="A273" s="122" t="s">
        <v>41</v>
      </c>
      <c r="B273" s="119" t="s">
        <v>133</v>
      </c>
      <c r="C273" s="126" t="s">
        <v>411</v>
      </c>
      <c r="D273" s="129">
        <v>46991</v>
      </c>
      <c r="E273" s="135">
        <v>34160464</v>
      </c>
      <c r="F273" s="132">
        <v>37987024</v>
      </c>
      <c r="G273" s="139">
        <f t="shared" si="20"/>
        <v>-3826560</v>
      </c>
      <c r="H273" s="143">
        <v>7373867</v>
      </c>
      <c r="I273" s="144">
        <v>0</v>
      </c>
      <c r="J273" s="34">
        <f t="shared" si="21"/>
        <v>156.92083590474772</v>
      </c>
      <c r="K273" s="47">
        <f t="shared" si="22"/>
        <v>0</v>
      </c>
      <c r="L273" s="45">
        <f t="shared" si="23"/>
        <v>21.585968504409074</v>
      </c>
      <c r="M273" s="46">
        <f t="shared" si="24"/>
        <v>0</v>
      </c>
    </row>
    <row r="274" spans="1:13" ht="12.75">
      <c r="A274" s="122" t="s">
        <v>41</v>
      </c>
      <c r="B274" s="119" t="s">
        <v>13</v>
      </c>
      <c r="C274" s="126" t="s">
        <v>412</v>
      </c>
      <c r="D274" s="129">
        <v>86137</v>
      </c>
      <c r="E274" s="135">
        <v>71042855</v>
      </c>
      <c r="F274" s="132">
        <v>76765818</v>
      </c>
      <c r="G274" s="139">
        <f t="shared" si="20"/>
        <v>-5722963</v>
      </c>
      <c r="H274" s="143">
        <v>9641673.82</v>
      </c>
      <c r="I274" s="144">
        <v>0</v>
      </c>
      <c r="J274" s="34">
        <f t="shared" si="21"/>
        <v>111.9341725390947</v>
      </c>
      <c r="K274" s="47">
        <f t="shared" si="22"/>
        <v>0</v>
      </c>
      <c r="L274" s="45">
        <f t="shared" si="23"/>
        <v>13.571630560173856</v>
      </c>
      <c r="M274" s="46">
        <f t="shared" si="24"/>
        <v>0</v>
      </c>
    </row>
    <row r="275" spans="1:13" ht="12.75">
      <c r="A275" s="122" t="s">
        <v>41</v>
      </c>
      <c r="B275" s="119" t="s">
        <v>136</v>
      </c>
      <c r="C275" s="126" t="s">
        <v>413</v>
      </c>
      <c r="D275" s="129">
        <v>140352</v>
      </c>
      <c r="E275" s="135">
        <v>104257567</v>
      </c>
      <c r="F275" s="132">
        <v>106883302</v>
      </c>
      <c r="G275" s="139">
        <f t="shared" si="20"/>
        <v>-2625735</v>
      </c>
      <c r="H275" s="143">
        <v>6268719.46</v>
      </c>
      <c r="I275" s="144">
        <v>414.46</v>
      </c>
      <c r="J275" s="34">
        <f t="shared" si="21"/>
        <v>44.664268838349294</v>
      </c>
      <c r="K275" s="47">
        <f t="shared" si="22"/>
        <v>0.0029530038759689923</v>
      </c>
      <c r="L275" s="45">
        <f t="shared" si="23"/>
        <v>6.012723719133019</v>
      </c>
      <c r="M275" s="46">
        <f t="shared" si="24"/>
        <v>0.000397534694052471</v>
      </c>
    </row>
    <row r="276" spans="1:13" ht="12.75">
      <c r="A276" s="122" t="s">
        <v>41</v>
      </c>
      <c r="B276" s="119" t="s">
        <v>15</v>
      </c>
      <c r="C276" s="126" t="s">
        <v>414</v>
      </c>
      <c r="D276" s="129">
        <v>75830</v>
      </c>
      <c r="E276" s="135">
        <v>52315926</v>
      </c>
      <c r="F276" s="132">
        <v>56526210</v>
      </c>
      <c r="G276" s="139">
        <f t="shared" si="20"/>
        <v>-4210284</v>
      </c>
      <c r="H276" s="143">
        <v>12274321.41</v>
      </c>
      <c r="I276" s="144">
        <v>0</v>
      </c>
      <c r="J276" s="34">
        <f t="shared" si="21"/>
        <v>161.86629843070025</v>
      </c>
      <c r="K276" s="47">
        <f t="shared" si="22"/>
        <v>0</v>
      </c>
      <c r="L276" s="45">
        <f t="shared" si="23"/>
        <v>23.46192134685717</v>
      </c>
      <c r="M276" s="46">
        <f t="shared" si="24"/>
        <v>0</v>
      </c>
    </row>
    <row r="277" spans="1:13" ht="12.75">
      <c r="A277" s="122" t="s">
        <v>41</v>
      </c>
      <c r="B277" s="119" t="s">
        <v>139</v>
      </c>
      <c r="C277" s="126" t="s">
        <v>264</v>
      </c>
      <c r="D277" s="129">
        <v>49431</v>
      </c>
      <c r="E277" s="135">
        <v>25773308</v>
      </c>
      <c r="F277" s="132">
        <v>31202114</v>
      </c>
      <c r="G277" s="139">
        <f t="shared" si="20"/>
        <v>-5428806</v>
      </c>
      <c r="H277" s="143">
        <v>1952171.24</v>
      </c>
      <c r="I277" s="144">
        <v>0</v>
      </c>
      <c r="J277" s="34">
        <f t="shared" si="21"/>
        <v>39.49285347251725</v>
      </c>
      <c r="K277" s="47">
        <f t="shared" si="22"/>
        <v>0</v>
      </c>
      <c r="L277" s="45">
        <f t="shared" si="23"/>
        <v>7.574391459567393</v>
      </c>
      <c r="M277" s="46">
        <f t="shared" si="24"/>
        <v>0</v>
      </c>
    </row>
    <row r="278" spans="1:13" ht="12.75">
      <c r="A278" s="122" t="s">
        <v>41</v>
      </c>
      <c r="B278" s="119" t="s">
        <v>17</v>
      </c>
      <c r="C278" s="126" t="s">
        <v>415</v>
      </c>
      <c r="D278" s="129">
        <v>70400</v>
      </c>
      <c r="E278" s="135">
        <v>45514107</v>
      </c>
      <c r="F278" s="132">
        <v>51400412</v>
      </c>
      <c r="G278" s="139">
        <f t="shared" si="20"/>
        <v>-5886305</v>
      </c>
      <c r="H278" s="143">
        <v>7550400.32</v>
      </c>
      <c r="I278" s="144">
        <v>0</v>
      </c>
      <c r="J278" s="34">
        <f t="shared" si="21"/>
        <v>107.25000454545454</v>
      </c>
      <c r="K278" s="47">
        <f t="shared" si="22"/>
        <v>0</v>
      </c>
      <c r="L278" s="45">
        <f t="shared" si="23"/>
        <v>16.589143054042562</v>
      </c>
      <c r="M278" s="46">
        <f t="shared" si="24"/>
        <v>0</v>
      </c>
    </row>
    <row r="279" spans="1:13" ht="12.75">
      <c r="A279" s="122" t="s">
        <v>41</v>
      </c>
      <c r="B279" s="119" t="s">
        <v>142</v>
      </c>
      <c r="C279" s="126" t="s">
        <v>416</v>
      </c>
      <c r="D279" s="129">
        <v>80478</v>
      </c>
      <c r="E279" s="135">
        <v>28309889</v>
      </c>
      <c r="F279" s="132">
        <v>28827715</v>
      </c>
      <c r="G279" s="139">
        <f t="shared" si="20"/>
        <v>-517826</v>
      </c>
      <c r="H279" s="143">
        <v>2159122</v>
      </c>
      <c r="I279" s="144">
        <v>0</v>
      </c>
      <c r="J279" s="34">
        <f t="shared" si="21"/>
        <v>26.82872337781754</v>
      </c>
      <c r="K279" s="47">
        <f t="shared" si="22"/>
        <v>0</v>
      </c>
      <c r="L279" s="45">
        <f t="shared" si="23"/>
        <v>7.626741312903064</v>
      </c>
      <c r="M279" s="46">
        <f t="shared" si="24"/>
        <v>0</v>
      </c>
    </row>
    <row r="280" spans="1:13" ht="12.75">
      <c r="A280" s="122" t="s">
        <v>41</v>
      </c>
      <c r="B280" s="119" t="s">
        <v>19</v>
      </c>
      <c r="C280" s="126" t="s">
        <v>417</v>
      </c>
      <c r="D280" s="129">
        <v>55417</v>
      </c>
      <c r="E280" s="135">
        <v>34789146</v>
      </c>
      <c r="F280" s="132">
        <v>34174658</v>
      </c>
      <c r="G280" s="139">
        <f t="shared" si="20"/>
        <v>614488</v>
      </c>
      <c r="H280" s="143">
        <v>5276256.91</v>
      </c>
      <c r="I280" s="144">
        <v>0</v>
      </c>
      <c r="J280" s="34">
        <f t="shared" si="21"/>
        <v>95.21007831531841</v>
      </c>
      <c r="K280" s="47">
        <f t="shared" si="22"/>
        <v>0</v>
      </c>
      <c r="L280" s="45">
        <f t="shared" si="23"/>
        <v>15.166388131516653</v>
      </c>
      <c r="M280" s="46">
        <f t="shared" si="24"/>
        <v>0</v>
      </c>
    </row>
    <row r="281" spans="1:13" ht="12.75">
      <c r="A281" s="122" t="s">
        <v>41</v>
      </c>
      <c r="B281" s="119" t="s">
        <v>145</v>
      </c>
      <c r="C281" s="126" t="s">
        <v>418</v>
      </c>
      <c r="D281" s="129">
        <v>88521</v>
      </c>
      <c r="E281" s="135">
        <v>61546975</v>
      </c>
      <c r="F281" s="132">
        <v>65710604</v>
      </c>
      <c r="G281" s="139">
        <f t="shared" si="20"/>
        <v>-4163629</v>
      </c>
      <c r="H281" s="143">
        <v>3271244.62</v>
      </c>
      <c r="I281" s="144">
        <v>0</v>
      </c>
      <c r="J281" s="34">
        <f t="shared" si="21"/>
        <v>36.95444719332136</v>
      </c>
      <c r="K281" s="47">
        <f t="shared" si="22"/>
        <v>0</v>
      </c>
      <c r="L281" s="45">
        <f t="shared" si="23"/>
        <v>5.315037205321627</v>
      </c>
      <c r="M281" s="46">
        <f t="shared" si="24"/>
        <v>0</v>
      </c>
    </row>
    <row r="282" spans="1:13" ht="12.75">
      <c r="A282" s="122" t="s">
        <v>41</v>
      </c>
      <c r="B282" s="119" t="s">
        <v>21</v>
      </c>
      <c r="C282" s="126" t="s">
        <v>419</v>
      </c>
      <c r="D282" s="129">
        <v>124152</v>
      </c>
      <c r="E282" s="135">
        <v>56967312.949999996</v>
      </c>
      <c r="F282" s="132">
        <v>52920210.88</v>
      </c>
      <c r="G282" s="139">
        <f t="shared" si="20"/>
        <v>4047102.069999993</v>
      </c>
      <c r="H282" s="143">
        <v>5350174.98</v>
      </c>
      <c r="I282" s="144">
        <v>0</v>
      </c>
      <c r="J282" s="34">
        <f t="shared" si="21"/>
        <v>43.093747825246474</v>
      </c>
      <c r="K282" s="47">
        <f t="shared" si="22"/>
        <v>0</v>
      </c>
      <c r="L282" s="45">
        <f t="shared" si="23"/>
        <v>9.391657606697773</v>
      </c>
      <c r="M282" s="46">
        <f t="shared" si="24"/>
        <v>0</v>
      </c>
    </row>
    <row r="283" spans="1:13" ht="12.75">
      <c r="A283" s="122" t="s">
        <v>41</v>
      </c>
      <c r="B283" s="119" t="s">
        <v>148</v>
      </c>
      <c r="C283" s="126" t="s">
        <v>420</v>
      </c>
      <c r="D283" s="129">
        <v>77852</v>
      </c>
      <c r="E283" s="135">
        <v>43249633</v>
      </c>
      <c r="F283" s="132">
        <v>43277028</v>
      </c>
      <c r="G283" s="139">
        <f t="shared" si="20"/>
        <v>-27395</v>
      </c>
      <c r="H283" s="143">
        <v>5076770</v>
      </c>
      <c r="I283" s="144">
        <v>0</v>
      </c>
      <c r="J283" s="34">
        <f t="shared" si="21"/>
        <v>65.21052766788264</v>
      </c>
      <c r="K283" s="47">
        <f t="shared" si="22"/>
        <v>0</v>
      </c>
      <c r="L283" s="45">
        <f t="shared" si="23"/>
        <v>11.738296137680521</v>
      </c>
      <c r="M283" s="46">
        <f t="shared" si="24"/>
        <v>0</v>
      </c>
    </row>
    <row r="284" spans="1:13" ht="12.75">
      <c r="A284" s="122" t="s">
        <v>41</v>
      </c>
      <c r="B284" s="119" t="s">
        <v>23</v>
      </c>
      <c r="C284" s="126" t="s">
        <v>421</v>
      </c>
      <c r="D284" s="129">
        <v>77166</v>
      </c>
      <c r="E284" s="135">
        <v>56073075</v>
      </c>
      <c r="F284" s="132">
        <v>59436823</v>
      </c>
      <c r="G284" s="139">
        <f t="shared" si="20"/>
        <v>-3363748</v>
      </c>
      <c r="H284" s="143">
        <v>4213680</v>
      </c>
      <c r="I284" s="144">
        <v>0</v>
      </c>
      <c r="J284" s="34">
        <f t="shared" si="21"/>
        <v>54.6053961589301</v>
      </c>
      <c r="K284" s="47">
        <f t="shared" si="22"/>
        <v>0</v>
      </c>
      <c r="L284" s="45">
        <f t="shared" si="23"/>
        <v>7.514622659805976</v>
      </c>
      <c r="M284" s="46">
        <f t="shared" si="24"/>
        <v>0</v>
      </c>
    </row>
    <row r="285" spans="1:13" ht="12.75">
      <c r="A285" s="122" t="s">
        <v>41</v>
      </c>
      <c r="B285" s="119" t="s">
        <v>151</v>
      </c>
      <c r="C285" s="126" t="s">
        <v>422</v>
      </c>
      <c r="D285" s="129">
        <v>50232</v>
      </c>
      <c r="E285" s="135">
        <v>28528999</v>
      </c>
      <c r="F285" s="132">
        <v>23883457</v>
      </c>
      <c r="G285" s="139">
        <f t="shared" si="20"/>
        <v>4645542</v>
      </c>
      <c r="H285" s="143">
        <v>7474140.07</v>
      </c>
      <c r="I285" s="144">
        <v>0</v>
      </c>
      <c r="J285" s="34">
        <f t="shared" si="21"/>
        <v>148.792404642459</v>
      </c>
      <c r="K285" s="47">
        <f t="shared" si="22"/>
        <v>0</v>
      </c>
      <c r="L285" s="45">
        <f t="shared" si="23"/>
        <v>26.198395779676677</v>
      </c>
      <c r="M285" s="46">
        <f t="shared" si="24"/>
        <v>0</v>
      </c>
    </row>
    <row r="286" spans="1:13" ht="12.75">
      <c r="A286" s="122" t="s">
        <v>41</v>
      </c>
      <c r="B286" s="119" t="s">
        <v>25</v>
      </c>
      <c r="C286" s="126" t="s">
        <v>423</v>
      </c>
      <c r="D286" s="129">
        <v>36345</v>
      </c>
      <c r="E286" s="135">
        <v>32766546.15</v>
      </c>
      <c r="F286" s="132">
        <v>35726145.95999999</v>
      </c>
      <c r="G286" s="139">
        <f t="shared" si="20"/>
        <v>-2959599.809999995</v>
      </c>
      <c r="H286" s="143">
        <v>0</v>
      </c>
      <c r="I286" s="144">
        <v>0</v>
      </c>
      <c r="J286" s="34">
        <f t="shared" si="21"/>
        <v>0</v>
      </c>
      <c r="K286" s="47">
        <f t="shared" si="22"/>
        <v>0</v>
      </c>
      <c r="L286" s="45">
        <f t="shared" si="23"/>
        <v>0</v>
      </c>
      <c r="M286" s="46">
        <f t="shared" si="24"/>
        <v>0</v>
      </c>
    </row>
    <row r="287" spans="1:13" ht="12.75">
      <c r="A287" s="122" t="s">
        <v>41</v>
      </c>
      <c r="B287" s="119" t="s">
        <v>154</v>
      </c>
      <c r="C287" s="126" t="s">
        <v>424</v>
      </c>
      <c r="D287" s="129">
        <v>71931</v>
      </c>
      <c r="E287" s="135">
        <v>39449272</v>
      </c>
      <c r="F287" s="132">
        <v>48781484</v>
      </c>
      <c r="G287" s="139">
        <f t="shared" si="20"/>
        <v>-9332212</v>
      </c>
      <c r="H287" s="143">
        <v>1361549.32</v>
      </c>
      <c r="I287" s="144">
        <v>0</v>
      </c>
      <c r="J287" s="34">
        <f t="shared" si="21"/>
        <v>18.928547079840403</v>
      </c>
      <c r="K287" s="47">
        <f t="shared" si="22"/>
        <v>0</v>
      </c>
      <c r="L287" s="45">
        <f t="shared" si="23"/>
        <v>3.4513927658791776</v>
      </c>
      <c r="M287" s="46">
        <f t="shared" si="24"/>
        <v>0</v>
      </c>
    </row>
    <row r="288" spans="1:13" ht="12.75">
      <c r="A288" s="122" t="s">
        <v>41</v>
      </c>
      <c r="B288" s="119" t="s">
        <v>27</v>
      </c>
      <c r="C288" s="126" t="s">
        <v>425</v>
      </c>
      <c r="D288" s="129">
        <v>56058</v>
      </c>
      <c r="E288" s="135">
        <v>34533701</v>
      </c>
      <c r="F288" s="132">
        <v>38741708</v>
      </c>
      <c r="G288" s="139">
        <f t="shared" si="20"/>
        <v>-4208007</v>
      </c>
      <c r="H288" s="143">
        <v>9669980.7</v>
      </c>
      <c r="I288" s="144">
        <v>615.6</v>
      </c>
      <c r="J288" s="34">
        <f t="shared" si="21"/>
        <v>172.49956652038958</v>
      </c>
      <c r="K288" s="47">
        <f t="shared" si="22"/>
        <v>0.010981483463555604</v>
      </c>
      <c r="L288" s="45">
        <f t="shared" si="23"/>
        <v>28.001576489007068</v>
      </c>
      <c r="M288" s="46">
        <f t="shared" si="24"/>
        <v>0.0017826065037164713</v>
      </c>
    </row>
    <row r="289" spans="1:13" ht="12.75">
      <c r="A289" s="122" t="s">
        <v>41</v>
      </c>
      <c r="B289" s="119" t="s">
        <v>157</v>
      </c>
      <c r="C289" s="126" t="s">
        <v>275</v>
      </c>
      <c r="D289" s="129">
        <v>158394</v>
      </c>
      <c r="E289" s="135">
        <v>96418513</v>
      </c>
      <c r="F289" s="132">
        <v>106850748</v>
      </c>
      <c r="G289" s="139">
        <f t="shared" si="20"/>
        <v>-10432235</v>
      </c>
      <c r="H289" s="143">
        <v>8979700</v>
      </c>
      <c r="I289" s="144">
        <v>0</v>
      </c>
      <c r="J289" s="34">
        <f t="shared" si="21"/>
        <v>56.69217268330871</v>
      </c>
      <c r="K289" s="47">
        <f t="shared" si="22"/>
        <v>0</v>
      </c>
      <c r="L289" s="45">
        <f t="shared" si="23"/>
        <v>9.31325294344666</v>
      </c>
      <c r="M289" s="46">
        <f t="shared" si="24"/>
        <v>0</v>
      </c>
    </row>
    <row r="290" spans="1:13" ht="12.75">
      <c r="A290" s="122" t="s">
        <v>41</v>
      </c>
      <c r="B290" s="119" t="s">
        <v>29</v>
      </c>
      <c r="C290" s="126" t="s">
        <v>426</v>
      </c>
      <c r="D290" s="129">
        <v>54550</v>
      </c>
      <c r="E290" s="135">
        <v>43792361</v>
      </c>
      <c r="F290" s="132">
        <v>46933282</v>
      </c>
      <c r="G290" s="139">
        <f t="shared" si="20"/>
        <v>-3140921</v>
      </c>
      <c r="H290" s="143">
        <v>1421328</v>
      </c>
      <c r="I290" s="144">
        <v>0</v>
      </c>
      <c r="J290" s="34">
        <f t="shared" si="21"/>
        <v>26.0555087076077</v>
      </c>
      <c r="K290" s="47">
        <f t="shared" si="22"/>
        <v>0</v>
      </c>
      <c r="L290" s="45">
        <f t="shared" si="23"/>
        <v>3.245607150525636</v>
      </c>
      <c r="M290" s="46">
        <f t="shared" si="24"/>
        <v>0</v>
      </c>
    </row>
    <row r="291" spans="1:13" ht="12.75">
      <c r="A291" s="122" t="s">
        <v>41</v>
      </c>
      <c r="B291" s="119" t="s">
        <v>160</v>
      </c>
      <c r="C291" s="126" t="s">
        <v>427</v>
      </c>
      <c r="D291" s="129">
        <v>136959</v>
      </c>
      <c r="E291" s="135">
        <v>103438955</v>
      </c>
      <c r="F291" s="132">
        <v>123469202</v>
      </c>
      <c r="G291" s="139">
        <f t="shared" si="20"/>
        <v>-20030247</v>
      </c>
      <c r="H291" s="143">
        <v>8888009.74</v>
      </c>
      <c r="I291" s="144">
        <v>0</v>
      </c>
      <c r="J291" s="34">
        <f t="shared" si="21"/>
        <v>64.8954047561679</v>
      </c>
      <c r="K291" s="47">
        <f t="shared" si="22"/>
        <v>0</v>
      </c>
      <c r="L291" s="45">
        <f t="shared" si="23"/>
        <v>8.592516948764613</v>
      </c>
      <c r="M291" s="46">
        <f t="shared" si="24"/>
        <v>0</v>
      </c>
    </row>
    <row r="292" spans="1:13" ht="12.75">
      <c r="A292" s="122" t="s">
        <v>41</v>
      </c>
      <c r="B292" s="119" t="s">
        <v>31</v>
      </c>
      <c r="C292" s="126" t="s">
        <v>428</v>
      </c>
      <c r="D292" s="129">
        <v>62084</v>
      </c>
      <c r="E292" s="135">
        <v>50735086</v>
      </c>
      <c r="F292" s="132">
        <v>52142046</v>
      </c>
      <c r="G292" s="139">
        <f t="shared" si="20"/>
        <v>-1406960</v>
      </c>
      <c r="H292" s="143">
        <v>19057866.31</v>
      </c>
      <c r="I292" s="144">
        <v>0</v>
      </c>
      <c r="J292" s="34">
        <f t="shared" si="21"/>
        <v>306.9690469364087</v>
      </c>
      <c r="K292" s="47">
        <f t="shared" si="22"/>
        <v>0</v>
      </c>
      <c r="L292" s="45">
        <f t="shared" si="23"/>
        <v>37.56348478447439</v>
      </c>
      <c r="M292" s="46">
        <f t="shared" si="24"/>
        <v>0</v>
      </c>
    </row>
    <row r="293" spans="1:13" ht="12.75">
      <c r="A293" s="122" t="s">
        <v>41</v>
      </c>
      <c r="B293" s="119" t="s">
        <v>163</v>
      </c>
      <c r="C293" s="126" t="s">
        <v>429</v>
      </c>
      <c r="D293" s="129">
        <v>295039</v>
      </c>
      <c r="E293" s="135">
        <v>140419047</v>
      </c>
      <c r="F293" s="132">
        <v>161112724</v>
      </c>
      <c r="G293" s="139">
        <f t="shared" si="20"/>
        <v>-20693677</v>
      </c>
      <c r="H293" s="143">
        <v>18879821.58</v>
      </c>
      <c r="I293" s="144">
        <v>2549480.2</v>
      </c>
      <c r="J293" s="34">
        <f t="shared" si="21"/>
        <v>63.99093536786661</v>
      </c>
      <c r="K293" s="47">
        <f t="shared" si="22"/>
        <v>8.641163371622058</v>
      </c>
      <c r="L293" s="45">
        <f t="shared" si="23"/>
        <v>13.445342340202608</v>
      </c>
      <c r="M293" s="46">
        <f t="shared" si="24"/>
        <v>1.8156227765881363</v>
      </c>
    </row>
    <row r="294" spans="1:13" ht="12.75">
      <c r="A294" s="122" t="s">
        <v>41</v>
      </c>
      <c r="B294" s="119" t="s">
        <v>33</v>
      </c>
      <c r="C294" s="126" t="s">
        <v>430</v>
      </c>
      <c r="D294" s="129">
        <v>59405</v>
      </c>
      <c r="E294" s="135">
        <v>40295924</v>
      </c>
      <c r="F294" s="132">
        <v>42175924</v>
      </c>
      <c r="G294" s="139">
        <f t="shared" si="20"/>
        <v>-1880000</v>
      </c>
      <c r="H294" s="143">
        <v>1050000</v>
      </c>
      <c r="I294" s="144">
        <v>0</v>
      </c>
      <c r="J294" s="34">
        <f t="shared" si="21"/>
        <v>17.67527985859776</v>
      </c>
      <c r="K294" s="47">
        <f t="shared" si="22"/>
        <v>0</v>
      </c>
      <c r="L294" s="45">
        <f t="shared" si="23"/>
        <v>2.60572260360626</v>
      </c>
      <c r="M294" s="46">
        <f t="shared" si="24"/>
        <v>0</v>
      </c>
    </row>
    <row r="295" spans="1:13" ht="12.75">
      <c r="A295" s="122" t="s">
        <v>41</v>
      </c>
      <c r="B295" s="119" t="s">
        <v>166</v>
      </c>
      <c r="C295" s="126" t="s">
        <v>431</v>
      </c>
      <c r="D295" s="129">
        <v>58788</v>
      </c>
      <c r="E295" s="135">
        <v>45049616</v>
      </c>
      <c r="F295" s="132">
        <v>51505187</v>
      </c>
      <c r="G295" s="139">
        <f t="shared" si="20"/>
        <v>-6455571</v>
      </c>
      <c r="H295" s="143">
        <v>10233482.03</v>
      </c>
      <c r="I295" s="144">
        <v>282.03</v>
      </c>
      <c r="J295" s="34">
        <f t="shared" si="21"/>
        <v>174.07433540858676</v>
      </c>
      <c r="K295" s="47">
        <f t="shared" si="22"/>
        <v>0.004797407634211063</v>
      </c>
      <c r="L295" s="45">
        <f t="shared" si="23"/>
        <v>22.716024993420586</v>
      </c>
      <c r="M295" s="46">
        <f t="shared" si="24"/>
        <v>0.0006260430721540445</v>
      </c>
    </row>
    <row r="296" spans="1:13" ht="12.75">
      <c r="A296" s="122" t="s">
        <v>41</v>
      </c>
      <c r="B296" s="119" t="s">
        <v>35</v>
      </c>
      <c r="C296" s="126" t="s">
        <v>432</v>
      </c>
      <c r="D296" s="129">
        <v>86100</v>
      </c>
      <c r="E296" s="135">
        <v>52276081</v>
      </c>
      <c r="F296" s="132">
        <v>58426577</v>
      </c>
      <c r="G296" s="139">
        <f t="shared" si="20"/>
        <v>-6150496</v>
      </c>
      <c r="H296" s="143">
        <v>0</v>
      </c>
      <c r="I296" s="144">
        <v>0</v>
      </c>
      <c r="J296" s="34">
        <f t="shared" si="21"/>
        <v>0</v>
      </c>
      <c r="K296" s="47">
        <f t="shared" si="22"/>
        <v>0</v>
      </c>
      <c r="L296" s="45">
        <f t="shared" si="23"/>
        <v>0</v>
      </c>
      <c r="M296" s="46">
        <f t="shared" si="24"/>
        <v>0</v>
      </c>
    </row>
    <row r="297" spans="1:13" ht="12.75">
      <c r="A297" s="122" t="s">
        <v>41</v>
      </c>
      <c r="B297" s="119" t="s">
        <v>169</v>
      </c>
      <c r="C297" s="126" t="s">
        <v>159</v>
      </c>
      <c r="D297" s="129">
        <v>54696</v>
      </c>
      <c r="E297" s="135">
        <v>31527174</v>
      </c>
      <c r="F297" s="132">
        <v>34566192</v>
      </c>
      <c r="G297" s="139">
        <f t="shared" si="20"/>
        <v>-3039018</v>
      </c>
      <c r="H297" s="143">
        <v>6369743.44</v>
      </c>
      <c r="I297" s="144">
        <v>2793</v>
      </c>
      <c r="J297" s="34">
        <f t="shared" si="21"/>
        <v>116.45720783969578</v>
      </c>
      <c r="K297" s="47">
        <f t="shared" si="22"/>
        <v>0.05106406318560772</v>
      </c>
      <c r="L297" s="45">
        <f t="shared" si="23"/>
        <v>20.203978447291217</v>
      </c>
      <c r="M297" s="46">
        <f t="shared" si="24"/>
        <v>0.008859024281719637</v>
      </c>
    </row>
    <row r="298" spans="1:13" ht="12.75">
      <c r="A298" s="122" t="s">
        <v>41</v>
      </c>
      <c r="B298" s="119" t="s">
        <v>37</v>
      </c>
      <c r="C298" s="126" t="s">
        <v>433</v>
      </c>
      <c r="D298" s="129">
        <v>58663</v>
      </c>
      <c r="E298" s="135">
        <v>38966292</v>
      </c>
      <c r="F298" s="132">
        <v>43753741</v>
      </c>
      <c r="G298" s="139">
        <f t="shared" si="20"/>
        <v>-4787449</v>
      </c>
      <c r="H298" s="143">
        <v>4362433.18</v>
      </c>
      <c r="I298" s="144">
        <v>0</v>
      </c>
      <c r="J298" s="34">
        <f t="shared" si="21"/>
        <v>74.36430424628811</v>
      </c>
      <c r="K298" s="47">
        <f t="shared" si="22"/>
        <v>0</v>
      </c>
      <c r="L298" s="45">
        <f t="shared" si="23"/>
        <v>11.195402374955256</v>
      </c>
      <c r="M298" s="46">
        <f t="shared" si="24"/>
        <v>0</v>
      </c>
    </row>
    <row r="299" spans="1:13" ht="12.75">
      <c r="A299" s="122" t="s">
        <v>41</v>
      </c>
      <c r="B299" s="119" t="s">
        <v>286</v>
      </c>
      <c r="C299" s="126" t="s">
        <v>434</v>
      </c>
      <c r="D299" s="129">
        <v>83625</v>
      </c>
      <c r="E299" s="135">
        <v>61906956</v>
      </c>
      <c r="F299" s="132">
        <v>61109141</v>
      </c>
      <c r="G299" s="139">
        <f t="shared" si="20"/>
        <v>797815</v>
      </c>
      <c r="H299" s="143">
        <v>8400000</v>
      </c>
      <c r="I299" s="144">
        <v>0</v>
      </c>
      <c r="J299" s="34">
        <f t="shared" si="21"/>
        <v>100.44843049327355</v>
      </c>
      <c r="K299" s="47">
        <f t="shared" si="22"/>
        <v>0</v>
      </c>
      <c r="L299" s="45">
        <f t="shared" si="23"/>
        <v>13.56874985098605</v>
      </c>
      <c r="M299" s="46">
        <f t="shared" si="24"/>
        <v>0</v>
      </c>
    </row>
    <row r="300" spans="1:13" ht="12.75">
      <c r="A300" s="122" t="s">
        <v>41</v>
      </c>
      <c r="B300" s="119" t="s">
        <v>39</v>
      </c>
      <c r="C300" s="126" t="s">
        <v>435</v>
      </c>
      <c r="D300" s="129">
        <v>67752</v>
      </c>
      <c r="E300" s="135">
        <v>50172155</v>
      </c>
      <c r="F300" s="132">
        <v>55454294</v>
      </c>
      <c r="G300" s="139">
        <f t="shared" si="20"/>
        <v>-5282139</v>
      </c>
      <c r="H300" s="143">
        <v>9422224.26</v>
      </c>
      <c r="I300" s="144">
        <v>0</v>
      </c>
      <c r="J300" s="34">
        <f t="shared" si="21"/>
        <v>139.0693154445625</v>
      </c>
      <c r="K300" s="47">
        <f t="shared" si="22"/>
        <v>0</v>
      </c>
      <c r="L300" s="45">
        <f t="shared" si="23"/>
        <v>18.779787832513872</v>
      </c>
      <c r="M300" s="46">
        <f t="shared" si="24"/>
        <v>0</v>
      </c>
    </row>
    <row r="301" spans="1:13" ht="12.75">
      <c r="A301" s="122" t="s">
        <v>41</v>
      </c>
      <c r="B301" s="119" t="s">
        <v>289</v>
      </c>
      <c r="C301" s="126" t="s">
        <v>436</v>
      </c>
      <c r="D301" s="129">
        <v>54866</v>
      </c>
      <c r="E301" s="135">
        <v>39661657</v>
      </c>
      <c r="F301" s="132">
        <v>40402819</v>
      </c>
      <c r="G301" s="139">
        <f t="shared" si="20"/>
        <v>-741162</v>
      </c>
      <c r="H301" s="143">
        <v>5488191.26</v>
      </c>
      <c r="I301" s="144">
        <v>0</v>
      </c>
      <c r="J301" s="34">
        <f t="shared" si="21"/>
        <v>100.02900266102868</v>
      </c>
      <c r="K301" s="47">
        <f t="shared" si="22"/>
        <v>0</v>
      </c>
      <c r="L301" s="45">
        <f t="shared" si="23"/>
        <v>13.837523883583582</v>
      </c>
      <c r="M301" s="46">
        <f t="shared" si="24"/>
        <v>0</v>
      </c>
    </row>
    <row r="302" spans="1:13" ht="12.75">
      <c r="A302" s="122" t="s">
        <v>41</v>
      </c>
      <c r="B302" s="119" t="s">
        <v>41</v>
      </c>
      <c r="C302" s="126" t="s">
        <v>437</v>
      </c>
      <c r="D302" s="129">
        <v>73896</v>
      </c>
      <c r="E302" s="135">
        <v>49693878</v>
      </c>
      <c r="F302" s="132">
        <v>48626221</v>
      </c>
      <c r="G302" s="139">
        <f t="shared" si="20"/>
        <v>1067657</v>
      </c>
      <c r="H302" s="143">
        <v>6700000</v>
      </c>
      <c r="I302" s="144">
        <v>0</v>
      </c>
      <c r="J302" s="34">
        <f t="shared" si="21"/>
        <v>90.66796578975858</v>
      </c>
      <c r="K302" s="47">
        <f t="shared" si="22"/>
        <v>0</v>
      </c>
      <c r="L302" s="45">
        <f t="shared" si="23"/>
        <v>13.482546079418475</v>
      </c>
      <c r="M302" s="46">
        <f t="shared" si="24"/>
        <v>0</v>
      </c>
    </row>
    <row r="303" spans="1:13" ht="12.75">
      <c r="A303" s="122" t="s">
        <v>41</v>
      </c>
      <c r="B303" s="119" t="s">
        <v>438</v>
      </c>
      <c r="C303" s="126" t="s">
        <v>439</v>
      </c>
      <c r="D303" s="129">
        <v>68538</v>
      </c>
      <c r="E303" s="135">
        <v>42252940</v>
      </c>
      <c r="F303" s="132">
        <v>44962268</v>
      </c>
      <c r="G303" s="139">
        <f t="shared" si="20"/>
        <v>-2709328</v>
      </c>
      <c r="H303" s="143">
        <v>5164315</v>
      </c>
      <c r="I303" s="144">
        <v>0</v>
      </c>
      <c r="J303" s="34">
        <f t="shared" si="21"/>
        <v>75.3496600426041</v>
      </c>
      <c r="K303" s="47">
        <f t="shared" si="22"/>
        <v>0</v>
      </c>
      <c r="L303" s="45">
        <f t="shared" si="23"/>
        <v>12.22238026513658</v>
      </c>
      <c r="M303" s="46">
        <f t="shared" si="24"/>
        <v>0</v>
      </c>
    </row>
    <row r="304" spans="1:13" ht="12.75">
      <c r="A304" s="122" t="s">
        <v>43</v>
      </c>
      <c r="B304" s="119" t="s">
        <v>133</v>
      </c>
      <c r="C304" s="126" t="s">
        <v>440</v>
      </c>
      <c r="D304" s="129">
        <v>48319</v>
      </c>
      <c r="E304" s="135">
        <v>40409552</v>
      </c>
      <c r="F304" s="132">
        <v>41145305</v>
      </c>
      <c r="G304" s="139">
        <f t="shared" si="20"/>
        <v>-735753</v>
      </c>
      <c r="H304" s="143">
        <v>4553176.49</v>
      </c>
      <c r="I304" s="144">
        <v>3176.49</v>
      </c>
      <c r="J304" s="34">
        <f t="shared" si="21"/>
        <v>94.23159605952111</v>
      </c>
      <c r="K304" s="47">
        <f t="shared" si="22"/>
        <v>0.0657399780624599</v>
      </c>
      <c r="L304" s="45">
        <f t="shared" si="23"/>
        <v>11.267574780339066</v>
      </c>
      <c r="M304" s="46">
        <f t="shared" si="24"/>
        <v>0.007860740450673642</v>
      </c>
    </row>
    <row r="305" spans="1:13" ht="12.75">
      <c r="A305" s="122" t="s">
        <v>43</v>
      </c>
      <c r="B305" s="119" t="s">
        <v>13</v>
      </c>
      <c r="C305" s="126" t="s">
        <v>441</v>
      </c>
      <c r="D305" s="129">
        <v>50020</v>
      </c>
      <c r="E305" s="135">
        <v>36497166</v>
      </c>
      <c r="F305" s="132">
        <v>39720996</v>
      </c>
      <c r="G305" s="139">
        <f t="shared" si="20"/>
        <v>-3223830</v>
      </c>
      <c r="H305" s="143">
        <v>1582615.94</v>
      </c>
      <c r="I305" s="144">
        <v>0</v>
      </c>
      <c r="J305" s="34">
        <f t="shared" si="21"/>
        <v>31.639662934826067</v>
      </c>
      <c r="K305" s="47">
        <f t="shared" si="22"/>
        <v>0</v>
      </c>
      <c r="L305" s="45">
        <f t="shared" si="23"/>
        <v>4.336270766886393</v>
      </c>
      <c r="M305" s="46">
        <f t="shared" si="24"/>
        <v>0</v>
      </c>
    </row>
    <row r="306" spans="1:13" ht="12.75">
      <c r="A306" s="122" t="s">
        <v>43</v>
      </c>
      <c r="B306" s="119" t="s">
        <v>136</v>
      </c>
      <c r="C306" s="126" t="s">
        <v>442</v>
      </c>
      <c r="D306" s="129">
        <v>58123</v>
      </c>
      <c r="E306" s="135">
        <v>41655704.830000006</v>
      </c>
      <c r="F306" s="132">
        <v>42757773.830000006</v>
      </c>
      <c r="G306" s="139">
        <f t="shared" si="20"/>
        <v>-1102069</v>
      </c>
      <c r="H306" s="143">
        <v>6317312.94</v>
      </c>
      <c r="I306" s="144">
        <v>67412.94</v>
      </c>
      <c r="J306" s="34">
        <f t="shared" si="21"/>
        <v>108.68869363246908</v>
      </c>
      <c r="K306" s="47">
        <f t="shared" si="22"/>
        <v>1.1598324243414828</v>
      </c>
      <c r="L306" s="45">
        <f t="shared" si="23"/>
        <v>15.165540868367057</v>
      </c>
      <c r="M306" s="46">
        <f t="shared" si="24"/>
        <v>0.16183363185214886</v>
      </c>
    </row>
    <row r="307" spans="1:13" ht="12.75">
      <c r="A307" s="122" t="s">
        <v>43</v>
      </c>
      <c r="B307" s="119" t="s">
        <v>15</v>
      </c>
      <c r="C307" s="126" t="s">
        <v>443</v>
      </c>
      <c r="D307" s="129">
        <v>78918</v>
      </c>
      <c r="E307" s="135">
        <v>59452425</v>
      </c>
      <c r="F307" s="132">
        <v>61798334</v>
      </c>
      <c r="G307" s="139">
        <f t="shared" si="20"/>
        <v>-2345909</v>
      </c>
      <c r="H307" s="143">
        <v>9572075.45</v>
      </c>
      <c r="I307" s="144">
        <v>0</v>
      </c>
      <c r="J307" s="34">
        <f t="shared" si="21"/>
        <v>121.29140943764413</v>
      </c>
      <c r="K307" s="47">
        <f t="shared" si="22"/>
        <v>0</v>
      </c>
      <c r="L307" s="45">
        <f t="shared" si="23"/>
        <v>16.100395316086768</v>
      </c>
      <c r="M307" s="46">
        <f t="shared" si="24"/>
        <v>0</v>
      </c>
    </row>
    <row r="308" spans="1:13" ht="12.75">
      <c r="A308" s="122" t="s">
        <v>43</v>
      </c>
      <c r="B308" s="119" t="s">
        <v>139</v>
      </c>
      <c r="C308" s="126" t="s">
        <v>444</v>
      </c>
      <c r="D308" s="129">
        <v>60834</v>
      </c>
      <c r="E308" s="135">
        <v>59094952</v>
      </c>
      <c r="F308" s="132">
        <v>65948141</v>
      </c>
      <c r="G308" s="139">
        <f t="shared" si="20"/>
        <v>-6853189</v>
      </c>
      <c r="H308" s="143">
        <v>1050000</v>
      </c>
      <c r="I308" s="144">
        <v>0</v>
      </c>
      <c r="J308" s="34">
        <f t="shared" si="21"/>
        <v>17.260084820988265</v>
      </c>
      <c r="K308" s="47">
        <f t="shared" si="22"/>
        <v>0</v>
      </c>
      <c r="L308" s="45">
        <f t="shared" si="23"/>
        <v>1.776801510897242</v>
      </c>
      <c r="M308" s="46">
        <f t="shared" si="24"/>
        <v>0</v>
      </c>
    </row>
    <row r="309" spans="1:13" ht="12.75">
      <c r="A309" s="122" t="s">
        <v>43</v>
      </c>
      <c r="B309" s="119" t="s">
        <v>17</v>
      </c>
      <c r="C309" s="126" t="s">
        <v>445</v>
      </c>
      <c r="D309" s="129">
        <v>83037</v>
      </c>
      <c r="E309" s="135">
        <v>55982853</v>
      </c>
      <c r="F309" s="132">
        <v>63548404.05999999</v>
      </c>
      <c r="G309" s="139">
        <f t="shared" si="20"/>
        <v>-7565551.0599999875</v>
      </c>
      <c r="H309" s="143">
        <v>18020475.36</v>
      </c>
      <c r="I309" s="144">
        <v>0</v>
      </c>
      <c r="J309" s="34">
        <f t="shared" si="21"/>
        <v>217.01741825933019</v>
      </c>
      <c r="K309" s="47">
        <f t="shared" si="22"/>
        <v>0</v>
      </c>
      <c r="L309" s="45">
        <f t="shared" si="23"/>
        <v>32.18927652722522</v>
      </c>
      <c r="M309" s="46">
        <f t="shared" si="24"/>
        <v>0</v>
      </c>
    </row>
    <row r="310" spans="1:13" ht="12.75">
      <c r="A310" s="122" t="s">
        <v>43</v>
      </c>
      <c r="B310" s="119" t="s">
        <v>142</v>
      </c>
      <c r="C310" s="126" t="s">
        <v>446</v>
      </c>
      <c r="D310" s="129">
        <v>47599</v>
      </c>
      <c r="E310" s="135">
        <v>48451472</v>
      </c>
      <c r="F310" s="132">
        <v>50792148</v>
      </c>
      <c r="G310" s="139">
        <f t="shared" si="20"/>
        <v>-2340676</v>
      </c>
      <c r="H310" s="143">
        <v>12990440.46</v>
      </c>
      <c r="I310" s="144">
        <v>12144.46</v>
      </c>
      <c r="J310" s="34">
        <f t="shared" si="21"/>
        <v>272.9141465156831</v>
      </c>
      <c r="K310" s="47">
        <f t="shared" si="22"/>
        <v>0.25514107439231914</v>
      </c>
      <c r="L310" s="45">
        <f t="shared" si="23"/>
        <v>26.811240038279955</v>
      </c>
      <c r="M310" s="46">
        <f t="shared" si="24"/>
        <v>0.025065203385358444</v>
      </c>
    </row>
    <row r="311" spans="1:13" ht="12.75">
      <c r="A311" s="122" t="s">
        <v>43</v>
      </c>
      <c r="B311" s="119" t="s">
        <v>19</v>
      </c>
      <c r="C311" s="126" t="s">
        <v>447</v>
      </c>
      <c r="D311" s="129">
        <v>76217</v>
      </c>
      <c r="E311" s="135">
        <v>60052308</v>
      </c>
      <c r="F311" s="132">
        <v>67161608</v>
      </c>
      <c r="G311" s="139">
        <f t="shared" si="20"/>
        <v>-7109300</v>
      </c>
      <c r="H311" s="143">
        <v>7092792.91</v>
      </c>
      <c r="I311" s="144">
        <v>22219.91</v>
      </c>
      <c r="J311" s="34">
        <f t="shared" si="21"/>
        <v>93.06051025361796</v>
      </c>
      <c r="K311" s="47">
        <f t="shared" si="22"/>
        <v>0.2915348281879371</v>
      </c>
      <c r="L311" s="45">
        <f t="shared" si="23"/>
        <v>11.811024665363403</v>
      </c>
      <c r="M311" s="46">
        <f t="shared" si="24"/>
        <v>0.03700092592611095</v>
      </c>
    </row>
    <row r="312" spans="1:13" ht="12.75">
      <c r="A312" s="122" t="s">
        <v>43</v>
      </c>
      <c r="B312" s="119" t="s">
        <v>145</v>
      </c>
      <c r="C312" s="126" t="s">
        <v>448</v>
      </c>
      <c r="D312" s="129">
        <v>64205</v>
      </c>
      <c r="E312" s="135">
        <v>52911410</v>
      </c>
      <c r="F312" s="132">
        <v>58587967</v>
      </c>
      <c r="G312" s="139">
        <f t="shared" si="20"/>
        <v>-5676557</v>
      </c>
      <c r="H312" s="143">
        <v>1877829.99</v>
      </c>
      <c r="I312" s="144">
        <v>0</v>
      </c>
      <c r="J312" s="34">
        <f t="shared" si="21"/>
        <v>29.247410482049684</v>
      </c>
      <c r="K312" s="47">
        <f t="shared" si="22"/>
        <v>0</v>
      </c>
      <c r="L312" s="45">
        <f t="shared" si="23"/>
        <v>3.549007652602718</v>
      </c>
      <c r="M312" s="46">
        <f t="shared" si="24"/>
        <v>0</v>
      </c>
    </row>
    <row r="313" spans="1:13" ht="12.75">
      <c r="A313" s="122" t="s">
        <v>43</v>
      </c>
      <c r="B313" s="119" t="s">
        <v>21</v>
      </c>
      <c r="C313" s="126" t="s">
        <v>449</v>
      </c>
      <c r="D313" s="129">
        <v>67340</v>
      </c>
      <c r="E313" s="135">
        <v>46717220</v>
      </c>
      <c r="F313" s="132">
        <v>58158725</v>
      </c>
      <c r="G313" s="139">
        <f t="shared" si="20"/>
        <v>-11441505</v>
      </c>
      <c r="H313" s="143">
        <v>14384768.96</v>
      </c>
      <c r="I313" s="144">
        <v>0</v>
      </c>
      <c r="J313" s="34">
        <f t="shared" si="21"/>
        <v>213.61403267003269</v>
      </c>
      <c r="K313" s="47">
        <f t="shared" si="22"/>
        <v>0</v>
      </c>
      <c r="L313" s="45">
        <f t="shared" si="23"/>
        <v>30.791149302120292</v>
      </c>
      <c r="M313" s="46">
        <f t="shared" si="24"/>
        <v>0</v>
      </c>
    </row>
    <row r="314" spans="1:13" ht="12.75">
      <c r="A314" s="122" t="s">
        <v>43</v>
      </c>
      <c r="B314" s="119" t="s">
        <v>148</v>
      </c>
      <c r="C314" s="126" t="s">
        <v>450</v>
      </c>
      <c r="D314" s="129">
        <v>64785</v>
      </c>
      <c r="E314" s="135">
        <v>54489940</v>
      </c>
      <c r="F314" s="132">
        <v>63518966</v>
      </c>
      <c r="G314" s="139">
        <f t="shared" si="20"/>
        <v>-9029026</v>
      </c>
      <c r="H314" s="143">
        <v>6959.24</v>
      </c>
      <c r="I314" s="144">
        <v>6959.24</v>
      </c>
      <c r="J314" s="34">
        <f t="shared" si="21"/>
        <v>0.10742054487921586</v>
      </c>
      <c r="K314" s="47">
        <f t="shared" si="22"/>
        <v>0.10742054487921586</v>
      </c>
      <c r="L314" s="45">
        <f t="shared" si="23"/>
        <v>0.01277160518069941</v>
      </c>
      <c r="M314" s="46">
        <f t="shared" si="24"/>
        <v>0.01277160518069941</v>
      </c>
    </row>
    <row r="315" spans="1:13" ht="12.75">
      <c r="A315" s="122" t="s">
        <v>43</v>
      </c>
      <c r="B315" s="119" t="s">
        <v>23</v>
      </c>
      <c r="C315" s="126" t="s">
        <v>451</v>
      </c>
      <c r="D315" s="129">
        <v>39958</v>
      </c>
      <c r="E315" s="135">
        <v>28927392</v>
      </c>
      <c r="F315" s="132">
        <v>32940063</v>
      </c>
      <c r="G315" s="139">
        <f t="shared" si="20"/>
        <v>-4012671</v>
      </c>
      <c r="H315" s="143">
        <v>11611378.39</v>
      </c>
      <c r="I315" s="144">
        <v>46387.45</v>
      </c>
      <c r="J315" s="34">
        <f t="shared" si="21"/>
        <v>290.5895788077481</v>
      </c>
      <c r="K315" s="47">
        <f t="shared" si="22"/>
        <v>1.1609052004604834</v>
      </c>
      <c r="L315" s="45">
        <f t="shared" si="23"/>
        <v>40.13973465011986</v>
      </c>
      <c r="M315" s="46">
        <f t="shared" si="24"/>
        <v>0.16035821687623966</v>
      </c>
    </row>
    <row r="316" spans="1:13" ht="12.75">
      <c r="A316" s="122" t="s">
        <v>43</v>
      </c>
      <c r="B316" s="119" t="s">
        <v>151</v>
      </c>
      <c r="C316" s="126" t="s">
        <v>452</v>
      </c>
      <c r="D316" s="129">
        <v>57570</v>
      </c>
      <c r="E316" s="135">
        <v>40232942</v>
      </c>
      <c r="F316" s="132">
        <v>42423830</v>
      </c>
      <c r="G316" s="139">
        <f t="shared" si="20"/>
        <v>-2190888</v>
      </c>
      <c r="H316" s="143">
        <v>5795942</v>
      </c>
      <c r="I316" s="144">
        <v>0</v>
      </c>
      <c r="J316" s="34">
        <f t="shared" si="21"/>
        <v>100.67642869550113</v>
      </c>
      <c r="K316" s="47">
        <f t="shared" si="22"/>
        <v>0</v>
      </c>
      <c r="L316" s="45">
        <f t="shared" si="23"/>
        <v>14.405961164858388</v>
      </c>
      <c r="M316" s="46">
        <f t="shared" si="24"/>
        <v>0</v>
      </c>
    </row>
    <row r="317" spans="1:13" ht="12.75">
      <c r="A317" s="122" t="s">
        <v>43</v>
      </c>
      <c r="B317" s="119" t="s">
        <v>25</v>
      </c>
      <c r="C317" s="126" t="s">
        <v>453</v>
      </c>
      <c r="D317" s="129">
        <v>119393</v>
      </c>
      <c r="E317" s="135">
        <v>133734590</v>
      </c>
      <c r="F317" s="132">
        <v>143974193</v>
      </c>
      <c r="G317" s="139">
        <f t="shared" si="20"/>
        <v>-10239603</v>
      </c>
      <c r="H317" s="143">
        <v>10426697.53</v>
      </c>
      <c r="I317" s="144">
        <v>397.53</v>
      </c>
      <c r="J317" s="34">
        <f t="shared" si="21"/>
        <v>87.33089485983265</v>
      </c>
      <c r="K317" s="47">
        <f t="shared" si="22"/>
        <v>0.00332959218714665</v>
      </c>
      <c r="L317" s="45">
        <f t="shared" si="23"/>
        <v>7.79655998496724</v>
      </c>
      <c r="M317" s="46">
        <f t="shared" si="24"/>
        <v>0.00029725293957232757</v>
      </c>
    </row>
    <row r="318" spans="1:13" ht="12.75">
      <c r="A318" s="122" t="s">
        <v>43</v>
      </c>
      <c r="B318" s="119" t="s">
        <v>154</v>
      </c>
      <c r="C318" s="126" t="s">
        <v>454</v>
      </c>
      <c r="D318" s="129">
        <v>77276</v>
      </c>
      <c r="E318" s="135">
        <v>75966903</v>
      </c>
      <c r="F318" s="132">
        <v>78186906</v>
      </c>
      <c r="G318" s="139">
        <f t="shared" si="20"/>
        <v>-2220003</v>
      </c>
      <c r="H318" s="143">
        <v>11506823.85</v>
      </c>
      <c r="I318" s="144">
        <v>708250.87</v>
      </c>
      <c r="J318" s="34">
        <f t="shared" si="21"/>
        <v>148.90553147160827</v>
      </c>
      <c r="K318" s="47">
        <f t="shared" si="22"/>
        <v>9.165211320461722</v>
      </c>
      <c r="L318" s="45">
        <f t="shared" si="23"/>
        <v>15.1471540836672</v>
      </c>
      <c r="M318" s="46">
        <f t="shared" si="24"/>
        <v>0.9323150504108347</v>
      </c>
    </row>
    <row r="319" spans="1:13" ht="12.75">
      <c r="A319" s="122" t="s">
        <v>43</v>
      </c>
      <c r="B319" s="119" t="s">
        <v>27</v>
      </c>
      <c r="C319" s="126" t="s">
        <v>455</v>
      </c>
      <c r="D319" s="129">
        <v>48816</v>
      </c>
      <c r="E319" s="135">
        <v>44470614</v>
      </c>
      <c r="F319" s="132">
        <v>47628229</v>
      </c>
      <c r="G319" s="139">
        <f t="shared" si="20"/>
        <v>-3157615</v>
      </c>
      <c r="H319" s="143">
        <v>5238331.99</v>
      </c>
      <c r="I319" s="144">
        <v>0</v>
      </c>
      <c r="J319" s="34">
        <f t="shared" si="21"/>
        <v>107.3076857997378</v>
      </c>
      <c r="K319" s="47">
        <f t="shared" si="22"/>
        <v>0</v>
      </c>
      <c r="L319" s="45">
        <f t="shared" si="23"/>
        <v>11.779311142409682</v>
      </c>
      <c r="M319" s="46">
        <f t="shared" si="24"/>
        <v>0</v>
      </c>
    </row>
    <row r="320" spans="1:13" ht="12.75">
      <c r="A320" s="122" t="s">
        <v>43</v>
      </c>
      <c r="B320" s="119" t="s">
        <v>157</v>
      </c>
      <c r="C320" s="126" t="s">
        <v>456</v>
      </c>
      <c r="D320" s="129">
        <v>54615</v>
      </c>
      <c r="E320" s="135">
        <v>35657038</v>
      </c>
      <c r="F320" s="132">
        <v>49703640</v>
      </c>
      <c r="G320" s="139">
        <f t="shared" si="20"/>
        <v>-14046602</v>
      </c>
      <c r="H320" s="143">
        <v>0</v>
      </c>
      <c r="I320" s="144">
        <v>0</v>
      </c>
      <c r="J320" s="34">
        <f t="shared" si="21"/>
        <v>0</v>
      </c>
      <c r="K320" s="47">
        <f t="shared" si="22"/>
        <v>0</v>
      </c>
      <c r="L320" s="45">
        <f t="shared" si="23"/>
        <v>0</v>
      </c>
      <c r="M320" s="46">
        <f t="shared" si="24"/>
        <v>0</v>
      </c>
    </row>
    <row r="321" spans="1:13" ht="13.5" thickBot="1">
      <c r="A321" s="123" t="s">
        <v>43</v>
      </c>
      <c r="B321" s="124" t="s">
        <v>29</v>
      </c>
      <c r="C321" s="127" t="s">
        <v>457</v>
      </c>
      <c r="D321" s="130">
        <v>38233</v>
      </c>
      <c r="E321" s="136">
        <v>31261837</v>
      </c>
      <c r="F321" s="133">
        <v>34169585</v>
      </c>
      <c r="G321" s="140">
        <f t="shared" si="20"/>
        <v>-2907748</v>
      </c>
      <c r="H321" s="145">
        <v>2993117.05</v>
      </c>
      <c r="I321" s="146">
        <v>8305.81</v>
      </c>
      <c r="J321" s="36">
        <f t="shared" si="21"/>
        <v>78.286220019355</v>
      </c>
      <c r="K321" s="48">
        <f t="shared" si="22"/>
        <v>0.21724191143776317</v>
      </c>
      <c r="L321" s="49">
        <f t="shared" si="23"/>
        <v>9.574347950186036</v>
      </c>
      <c r="M321" s="50">
        <f t="shared" si="24"/>
        <v>0.026568528266589068</v>
      </c>
    </row>
    <row r="322" spans="1:13" ht="13.5" thickBot="1">
      <c r="A322" s="754" t="s">
        <v>45</v>
      </c>
      <c r="B322" s="755"/>
      <c r="C322" s="756"/>
      <c r="D322" s="118">
        <f aca="true" t="shared" si="25" ref="D322:I322">SUM(D8:D321)</f>
        <v>25363915</v>
      </c>
      <c r="E322" s="148">
        <f t="shared" si="25"/>
        <v>17367101607.469997</v>
      </c>
      <c r="F322" s="149">
        <f t="shared" si="25"/>
        <v>18642102478.12</v>
      </c>
      <c r="G322" s="150">
        <f t="shared" si="25"/>
        <v>-1275000870.6499999</v>
      </c>
      <c r="H322" s="151">
        <f t="shared" si="25"/>
        <v>2433563765.889999</v>
      </c>
      <c r="I322" s="148">
        <f t="shared" si="25"/>
        <v>7358860.260000001</v>
      </c>
      <c r="J322" s="147">
        <f t="shared" si="21"/>
        <v>95.9459044824113</v>
      </c>
      <c r="K322" s="51">
        <f t="shared" si="22"/>
        <v>0.29013108820148625</v>
      </c>
      <c r="L322" s="52">
        <f t="shared" si="23"/>
        <v>14.01249224478117</v>
      </c>
      <c r="M322" s="53">
        <f t="shared" si="24"/>
        <v>0.04237241438625995</v>
      </c>
    </row>
    <row r="324" ht="12">
      <c r="A324" s="28" t="s">
        <v>703</v>
      </c>
    </row>
  </sheetData>
  <mergeCells count="16">
    <mergeCell ref="A1:M2"/>
    <mergeCell ref="L6:M6"/>
    <mergeCell ref="A322:C322"/>
    <mergeCell ref="J4:J5"/>
    <mergeCell ref="K4:K5"/>
    <mergeCell ref="L4:L5"/>
    <mergeCell ref="M4:M5"/>
    <mergeCell ref="E4:E5"/>
    <mergeCell ref="F4:F5"/>
    <mergeCell ref="G4:G5"/>
    <mergeCell ref="H4:H5"/>
    <mergeCell ref="E6:K6"/>
    <mergeCell ref="A4:A6"/>
    <mergeCell ref="B4:B6"/>
    <mergeCell ref="C4:C6"/>
    <mergeCell ref="D4:D6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"/>
  <dimension ref="A1:AA86"/>
  <sheetViews>
    <sheetView showGridLines="0" workbookViewId="0" topLeftCell="B63">
      <selection activeCell="D85" sqref="D85"/>
    </sheetView>
  </sheetViews>
  <sheetFormatPr defaultColWidth="9.140625" defaultRowHeight="12.75"/>
  <cols>
    <col min="1" max="1" width="5.7109375" style="386" hidden="1" customWidth="1"/>
    <col min="2" max="2" width="22.8515625" style="386" customWidth="1"/>
    <col min="3" max="5" width="14.57421875" style="386" customWidth="1"/>
    <col min="6" max="6" width="13.8515625" style="386" customWidth="1"/>
    <col min="7" max="10" width="13.00390625" style="386" customWidth="1"/>
    <col min="11" max="11" width="7.421875" style="386" customWidth="1"/>
    <col min="12" max="12" width="6.57421875" style="386" customWidth="1"/>
    <col min="13" max="13" width="8.140625" style="386" hidden="1" customWidth="1"/>
    <col min="14" max="16384" width="9.140625" style="386" customWidth="1"/>
  </cols>
  <sheetData>
    <row r="1" spans="1:13" ht="30.75" customHeight="1">
      <c r="A1" s="391"/>
      <c r="B1" s="761" t="str">
        <f>CONCATENATE("Informacja z wykonania budżetów powiatów za ",$D$84," ",$C$85," roku")</f>
        <v>Informacja z wykonania budżetów powiatów za 2 kwartały 2008 roku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</row>
    <row r="2" spans="1:13" ht="12.7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3" ht="66.75" customHeight="1">
      <c r="A3" s="391"/>
      <c r="B3" s="758" t="s">
        <v>500</v>
      </c>
      <c r="C3" s="404" t="s">
        <v>589</v>
      </c>
      <c r="D3" s="404" t="s">
        <v>590</v>
      </c>
      <c r="E3" s="404" t="s">
        <v>591</v>
      </c>
      <c r="F3" s="405" t="s">
        <v>501</v>
      </c>
      <c r="G3" s="404" t="s">
        <v>502</v>
      </c>
      <c r="H3" s="404" t="s">
        <v>503</v>
      </c>
      <c r="I3" s="391"/>
      <c r="J3" s="391"/>
      <c r="K3" s="391"/>
      <c r="L3" s="391"/>
      <c r="M3" s="391"/>
    </row>
    <row r="4" spans="1:13" ht="12.75">
      <c r="A4" s="391"/>
      <c r="B4" s="758"/>
      <c r="C4" s="760"/>
      <c r="D4" s="760"/>
      <c r="E4" s="760"/>
      <c r="F4" s="760" t="s">
        <v>12</v>
      </c>
      <c r="G4" s="760"/>
      <c r="H4" s="760"/>
      <c r="I4" s="391"/>
      <c r="J4" s="391"/>
      <c r="K4" s="391"/>
      <c r="L4" s="391"/>
      <c r="M4" s="391"/>
    </row>
    <row r="5" spans="1:13" ht="12.75">
      <c r="A5" s="391"/>
      <c r="B5" s="405">
        <v>1</v>
      </c>
      <c r="C5" s="406">
        <v>2</v>
      </c>
      <c r="D5" s="406">
        <v>3</v>
      </c>
      <c r="E5" s="406">
        <v>4</v>
      </c>
      <c r="F5" s="406">
        <v>5</v>
      </c>
      <c r="G5" s="406">
        <v>6</v>
      </c>
      <c r="H5" s="406">
        <v>7</v>
      </c>
      <c r="I5" s="391"/>
      <c r="J5" s="391"/>
      <c r="K5" s="391"/>
      <c r="L5" s="391"/>
      <c r="M5" s="391"/>
    </row>
    <row r="6" spans="1:13" ht="25.5" customHeight="1">
      <c r="A6" s="391"/>
      <c r="B6" s="407" t="s">
        <v>504</v>
      </c>
      <c r="C6" s="408">
        <f>17367101607.47</f>
        <v>17367101607.47</v>
      </c>
      <c r="D6" s="408">
        <f>9144824881.48</f>
        <v>9144824881.48</v>
      </c>
      <c r="E6" s="408">
        <f>8843605769.81</f>
        <v>8843605769.81</v>
      </c>
      <c r="F6" s="387">
        <f aca="true" t="shared" si="0" ref="F6:F27">IF($D$6=0,"",100*$D6/$D$6)</f>
        <v>100</v>
      </c>
      <c r="G6" s="387">
        <f aca="true" t="shared" si="1" ref="G6:G27">IF(C6=0,"",100*D6/C6)</f>
        <v>52.6560222204642</v>
      </c>
      <c r="H6" s="387"/>
      <c r="I6" s="391"/>
      <c r="J6" s="391"/>
      <c r="K6" s="391"/>
      <c r="L6" s="391"/>
      <c r="M6" s="391"/>
    </row>
    <row r="7" spans="1:13" ht="25.5" customHeight="1">
      <c r="A7" s="391"/>
      <c r="B7" s="407" t="s">
        <v>505</v>
      </c>
      <c r="C7" s="408">
        <f>C6-C12-C23</f>
        <v>5587955659.780001</v>
      </c>
      <c r="D7" s="408">
        <f>D6-D12-D23</f>
        <v>2577973473.6899996</v>
      </c>
      <c r="E7" s="408">
        <f>E6-E12-E23</f>
        <v>2574168417.25</v>
      </c>
      <c r="F7" s="387">
        <f t="shared" si="0"/>
        <v>28.190517665470924</v>
      </c>
      <c r="G7" s="387">
        <f t="shared" si="1"/>
        <v>46.134465458365774</v>
      </c>
      <c r="H7" s="387">
        <f>IF($D$7=0,"",100*$D7/$D$7)</f>
        <v>100</v>
      </c>
      <c r="I7" s="391"/>
      <c r="J7" s="391"/>
      <c r="K7" s="391"/>
      <c r="L7" s="391"/>
      <c r="M7" s="391"/>
    </row>
    <row r="8" spans="1:13" ht="22.5" customHeight="1">
      <c r="A8" s="391"/>
      <c r="B8" s="388" t="s">
        <v>507</v>
      </c>
      <c r="C8" s="389">
        <f>2689408037</f>
        <v>2689408037</v>
      </c>
      <c r="D8" s="389">
        <f>1254942018</f>
        <v>1254942018</v>
      </c>
      <c r="E8" s="389">
        <f>1267795358</f>
        <v>1267795358</v>
      </c>
      <c r="F8" s="390">
        <f t="shared" si="0"/>
        <v>13.722974843853981</v>
      </c>
      <c r="G8" s="390">
        <f t="shared" si="1"/>
        <v>46.66238818115051</v>
      </c>
      <c r="H8" s="390">
        <f>IF($D$7=0,"",100*$D8/$D$7)</f>
        <v>48.679399955335086</v>
      </c>
      <c r="I8" s="391"/>
      <c r="J8" s="391"/>
      <c r="K8" s="391"/>
      <c r="L8" s="391"/>
      <c r="M8" s="391"/>
    </row>
    <row r="9" spans="1:13" ht="22.5" customHeight="1">
      <c r="A9" s="391"/>
      <c r="B9" s="388" t="s">
        <v>506</v>
      </c>
      <c r="C9" s="389">
        <f>117942169</f>
        <v>117942169</v>
      </c>
      <c r="D9" s="389">
        <f>77002693.85</f>
        <v>77002693.85</v>
      </c>
      <c r="E9" s="389">
        <f>77733289.96</f>
        <v>77733289.96</v>
      </c>
      <c r="F9" s="390">
        <f t="shared" si="0"/>
        <v>0.8420357398635923</v>
      </c>
      <c r="G9" s="390">
        <f t="shared" si="1"/>
        <v>65.2885176717413</v>
      </c>
      <c r="H9" s="390">
        <f>IF($D$7=0,"",100*$D9/$D$7)</f>
        <v>2.9869467097262903</v>
      </c>
      <c r="I9" s="391"/>
      <c r="J9" s="391"/>
      <c r="K9" s="391"/>
      <c r="L9" s="391"/>
      <c r="M9" s="391"/>
    </row>
    <row r="10" spans="1:13" ht="13.5" customHeight="1">
      <c r="A10" s="391"/>
      <c r="B10" s="388" t="s">
        <v>518</v>
      </c>
      <c r="C10" s="389">
        <f>436003967.84</f>
        <v>436003967.84</v>
      </c>
      <c r="D10" s="409">
        <f>125450030.9</f>
        <v>125450030.9</v>
      </c>
      <c r="E10" s="389">
        <f>124028854.44</f>
        <v>124028854.44</v>
      </c>
      <c r="F10" s="390">
        <f t="shared" si="0"/>
        <v>1.3718144691218752</v>
      </c>
      <c r="G10" s="390">
        <f t="shared" si="1"/>
        <v>28.772681019737025</v>
      </c>
      <c r="H10" s="390">
        <f>IF($D$7=0,"",100*$D10/$D$7)</f>
        <v>4.866226599315479</v>
      </c>
      <c r="I10" s="391"/>
      <c r="J10" s="391"/>
      <c r="K10" s="391"/>
      <c r="L10" s="391"/>
      <c r="M10" s="391"/>
    </row>
    <row r="11" spans="1:13" ht="13.5" customHeight="1">
      <c r="A11" s="391"/>
      <c r="B11" s="388" t="s">
        <v>519</v>
      </c>
      <c r="C11" s="389">
        <f>C7-C9-C8-C10</f>
        <v>2344601485.9400005</v>
      </c>
      <c r="D11" s="389">
        <f>D7-D9-D8-D10</f>
        <v>1120578730.9399996</v>
      </c>
      <c r="E11" s="389">
        <f>E7-E9-E8-E10</f>
        <v>1104610914.85</v>
      </c>
      <c r="F11" s="390">
        <f t="shared" si="0"/>
        <v>12.253692612631474</v>
      </c>
      <c r="G11" s="390">
        <f t="shared" si="1"/>
        <v>47.793995596259535</v>
      </c>
      <c r="H11" s="390">
        <f>IF($D$7=0,"",100*$D11/$D$7)</f>
        <v>43.46742673562314</v>
      </c>
      <c r="I11" s="391"/>
      <c r="J11" s="391"/>
      <c r="K11" s="391"/>
      <c r="L11" s="391"/>
      <c r="M11" s="391"/>
    </row>
    <row r="12" spans="1:13" ht="25.5" customHeight="1">
      <c r="A12" s="391"/>
      <c r="B12" s="407" t="s">
        <v>520</v>
      </c>
      <c r="C12" s="408">
        <f>C13+C15+C17+C19+C21</f>
        <v>3781554901.69</v>
      </c>
      <c r="D12" s="408">
        <f>D13+D15+D17+D19+D21</f>
        <v>1811904375.7899997</v>
      </c>
      <c r="E12" s="408">
        <f>E13+E15+E17+E19+E21</f>
        <v>1784214308.56</v>
      </c>
      <c r="F12" s="387">
        <f t="shared" si="0"/>
        <v>19.81343983370801</v>
      </c>
      <c r="G12" s="387">
        <f t="shared" si="1"/>
        <v>47.91426867768728</v>
      </c>
      <c r="H12" s="392"/>
      <c r="I12" s="391"/>
      <c r="J12" s="391"/>
      <c r="K12" s="391"/>
      <c r="L12" s="391"/>
      <c r="M12" s="391"/>
    </row>
    <row r="13" spans="1:13" ht="22.5" customHeight="1">
      <c r="A13" s="391"/>
      <c r="B13" s="388" t="s">
        <v>522</v>
      </c>
      <c r="C13" s="389">
        <f>1869371627</f>
        <v>1869371627</v>
      </c>
      <c r="D13" s="389">
        <f>1033266894.9</f>
        <v>1033266894.9</v>
      </c>
      <c r="E13" s="389">
        <f>1007074179.44</f>
        <v>1007074179.44</v>
      </c>
      <c r="F13" s="390">
        <f t="shared" si="0"/>
        <v>11.298924892400738</v>
      </c>
      <c r="G13" s="390">
        <f t="shared" si="1"/>
        <v>55.273487624191915</v>
      </c>
      <c r="H13" s="392"/>
      <c r="I13" s="391"/>
      <c r="J13" s="391"/>
      <c r="K13" s="391"/>
      <c r="L13" s="391"/>
      <c r="M13" s="391"/>
    </row>
    <row r="14" spans="1:13" ht="13.5" customHeight="1">
      <c r="A14" s="391"/>
      <c r="B14" s="410" t="s">
        <v>523</v>
      </c>
      <c r="C14" s="389">
        <f>124592889</f>
        <v>124592889</v>
      </c>
      <c r="D14" s="389">
        <f>24287064.59</f>
        <v>24287064.59</v>
      </c>
      <c r="E14" s="389">
        <f>24287064.59</f>
        <v>24287064.59</v>
      </c>
      <c r="F14" s="390">
        <f t="shared" si="0"/>
        <v>0.2655826098888553</v>
      </c>
      <c r="G14" s="390">
        <f t="shared" si="1"/>
        <v>19.493138641323263</v>
      </c>
      <c r="H14" s="392"/>
      <c r="I14" s="391"/>
      <c r="J14" s="391"/>
      <c r="K14" s="391"/>
      <c r="L14" s="391"/>
      <c r="M14" s="391"/>
    </row>
    <row r="15" spans="1:13" ht="13.5" customHeight="1">
      <c r="A15" s="391"/>
      <c r="B15" s="388" t="s">
        <v>524</v>
      </c>
      <c r="C15" s="389">
        <f>1379082433.9</f>
        <v>1379082433.9</v>
      </c>
      <c r="D15" s="389">
        <f>585238210.3</f>
        <v>585238210.3</v>
      </c>
      <c r="E15" s="389">
        <f>584942295.58</f>
        <v>584942295.58</v>
      </c>
      <c r="F15" s="390">
        <f t="shared" si="0"/>
        <v>6.399665580094574</v>
      </c>
      <c r="G15" s="390">
        <f t="shared" si="1"/>
        <v>42.436782306403934</v>
      </c>
      <c r="H15" s="392"/>
      <c r="I15" s="391"/>
      <c r="J15" s="391"/>
      <c r="K15" s="391"/>
      <c r="L15" s="391"/>
      <c r="M15" s="391"/>
    </row>
    <row r="16" spans="1:13" ht="13.5" customHeight="1">
      <c r="A16" s="391"/>
      <c r="B16" s="410" t="s">
        <v>523</v>
      </c>
      <c r="C16" s="389">
        <f>539647163.72</f>
        <v>539647163.72</v>
      </c>
      <c r="D16" s="389">
        <f>163367264.63</f>
        <v>163367264.63</v>
      </c>
      <c r="E16" s="389">
        <f>163303356.8</f>
        <v>163303356.8</v>
      </c>
      <c r="F16" s="390">
        <f t="shared" si="0"/>
        <v>1.7864449756807221</v>
      </c>
      <c r="G16" s="390">
        <f t="shared" si="1"/>
        <v>30.272977532920812</v>
      </c>
      <c r="H16" s="392"/>
      <c r="I16" s="391"/>
      <c r="J16" s="391"/>
      <c r="K16" s="391"/>
      <c r="L16" s="391"/>
      <c r="M16" s="391"/>
    </row>
    <row r="17" spans="1:13" ht="33" customHeight="1">
      <c r="A17" s="391"/>
      <c r="B17" s="388" t="s">
        <v>525</v>
      </c>
      <c r="C17" s="389">
        <f>41881966</f>
        <v>41881966</v>
      </c>
      <c r="D17" s="389">
        <f>16695704.04</f>
        <v>16695704.04</v>
      </c>
      <c r="E17" s="389">
        <f>16690186.24</f>
        <v>16690186.24</v>
      </c>
      <c r="F17" s="390">
        <f t="shared" si="0"/>
        <v>0.1825699699707969</v>
      </c>
      <c r="G17" s="390">
        <f t="shared" si="1"/>
        <v>39.863706589131944</v>
      </c>
      <c r="H17" s="392"/>
      <c r="I17" s="391"/>
      <c r="J17" s="391"/>
      <c r="K17" s="391"/>
      <c r="L17" s="391"/>
      <c r="M17" s="391"/>
    </row>
    <row r="18" spans="1:13" ht="13.5" customHeight="1">
      <c r="A18" s="391"/>
      <c r="B18" s="410" t="s">
        <v>523</v>
      </c>
      <c r="C18" s="389">
        <f>33941861</f>
        <v>33941861</v>
      </c>
      <c r="D18" s="389">
        <f>12867991.28</f>
        <v>12867991.28</v>
      </c>
      <c r="E18" s="389">
        <f>12867991.28</f>
        <v>12867991.28</v>
      </c>
      <c r="F18" s="390">
        <f t="shared" si="0"/>
        <v>0.14071337009481852</v>
      </c>
      <c r="G18" s="390">
        <f t="shared" si="1"/>
        <v>37.91186134431462</v>
      </c>
      <c r="H18" s="392"/>
      <c r="I18" s="391"/>
      <c r="J18" s="391"/>
      <c r="K18" s="391"/>
      <c r="L18" s="391"/>
      <c r="M18" s="391"/>
    </row>
    <row r="19" spans="1:13" ht="33" customHeight="1">
      <c r="A19" s="391"/>
      <c r="B19" s="388" t="s">
        <v>526</v>
      </c>
      <c r="C19" s="389">
        <f>412486064.4</f>
        <v>412486064.4</v>
      </c>
      <c r="D19" s="389">
        <f>155706273.35</f>
        <v>155706273.35</v>
      </c>
      <c r="E19" s="389">
        <f>154616500.1</f>
        <v>154616500.1</v>
      </c>
      <c r="F19" s="390">
        <f t="shared" si="0"/>
        <v>1.7026709135276572</v>
      </c>
      <c r="G19" s="390">
        <f t="shared" si="1"/>
        <v>37.748250617021334</v>
      </c>
      <c r="H19" s="392"/>
      <c r="I19" s="391"/>
      <c r="J19" s="391"/>
      <c r="K19" s="391"/>
      <c r="L19" s="391"/>
      <c r="M19" s="391"/>
    </row>
    <row r="20" spans="1:13" ht="13.5" customHeight="1">
      <c r="A20" s="391"/>
      <c r="B20" s="410" t="s">
        <v>523</v>
      </c>
      <c r="C20" s="389">
        <f>112845518.98</f>
        <v>112845518.98</v>
      </c>
      <c r="D20" s="389">
        <f>16477231.17</f>
        <v>16477231.17</v>
      </c>
      <c r="E20" s="389">
        <f>16407781.17</f>
        <v>16407781.17</v>
      </c>
      <c r="F20" s="390">
        <f t="shared" si="0"/>
        <v>0.18018093712619374</v>
      </c>
      <c r="G20" s="390">
        <f t="shared" si="1"/>
        <v>14.601582161999996</v>
      </c>
      <c r="H20" s="392"/>
      <c r="I20" s="391"/>
      <c r="J20" s="391"/>
      <c r="K20" s="391"/>
      <c r="L20" s="391"/>
      <c r="M20" s="391"/>
    </row>
    <row r="21" spans="1:13" ht="22.5" customHeight="1">
      <c r="A21" s="391"/>
      <c r="B21" s="388" t="s">
        <v>527</v>
      </c>
      <c r="C21" s="389">
        <f>78732810.39</f>
        <v>78732810.39</v>
      </c>
      <c r="D21" s="389">
        <f>20997293.2</f>
        <v>20997293.2</v>
      </c>
      <c r="E21" s="389">
        <f>20891147.2</f>
        <v>20891147.2</v>
      </c>
      <c r="F21" s="390">
        <f t="shared" si="0"/>
        <v>0.2296084777142479</v>
      </c>
      <c r="G21" s="390">
        <f t="shared" si="1"/>
        <v>26.66905080104559</v>
      </c>
      <c r="H21" s="392"/>
      <c r="I21" s="391"/>
      <c r="J21" s="391"/>
      <c r="K21" s="391"/>
      <c r="L21" s="391"/>
      <c r="M21" s="391"/>
    </row>
    <row r="22" spans="1:13" ht="13.5" customHeight="1">
      <c r="A22" s="391"/>
      <c r="B22" s="410" t="s">
        <v>523</v>
      </c>
      <c r="C22" s="389">
        <f>50641775</f>
        <v>50641775</v>
      </c>
      <c r="D22" s="389">
        <f>8801691.7</f>
        <v>8801691.7</v>
      </c>
      <c r="E22" s="389">
        <f>8801691.7</f>
        <v>8801691.7</v>
      </c>
      <c r="F22" s="390">
        <f t="shared" si="0"/>
        <v>0.09624778838384418</v>
      </c>
      <c r="G22" s="390">
        <f t="shared" si="1"/>
        <v>17.38029857760712</v>
      </c>
      <c r="H22" s="392"/>
      <c r="I22" s="391"/>
      <c r="J22" s="391"/>
      <c r="K22" s="391"/>
      <c r="L22" s="391"/>
      <c r="M22" s="391"/>
    </row>
    <row r="23" spans="2:8" s="391" customFormat="1" ht="25.5" customHeight="1">
      <c r="B23" s="407" t="s">
        <v>528</v>
      </c>
      <c r="C23" s="408">
        <f>C26+C24+C25+C27</f>
        <v>7997591046</v>
      </c>
      <c r="D23" s="408">
        <f>D26+D24+D25+D27</f>
        <v>4754947032</v>
      </c>
      <c r="E23" s="408">
        <f>E26+E24+E25+E27</f>
        <v>4485223044</v>
      </c>
      <c r="F23" s="387">
        <f t="shared" si="0"/>
        <v>51.99604250082106</v>
      </c>
      <c r="G23" s="387">
        <f t="shared" si="1"/>
        <v>59.45474086697881</v>
      </c>
      <c r="H23" s="392"/>
    </row>
    <row r="24" spans="1:13" ht="13.5" customHeight="1">
      <c r="A24" s="391"/>
      <c r="B24" s="388" t="s">
        <v>530</v>
      </c>
      <c r="C24" s="389">
        <f>6413908997</f>
        <v>6413908997</v>
      </c>
      <c r="D24" s="389">
        <f>3962898069</f>
        <v>3962898069</v>
      </c>
      <c r="E24" s="389">
        <f>3695795421</f>
        <v>3695795421</v>
      </c>
      <c r="F24" s="390">
        <f t="shared" si="0"/>
        <v>43.33487103755938</v>
      </c>
      <c r="G24" s="390">
        <f t="shared" si="1"/>
        <v>61.786003993096564</v>
      </c>
      <c r="H24" s="392"/>
      <c r="I24" s="391"/>
      <c r="J24" s="391"/>
      <c r="K24" s="391"/>
      <c r="L24" s="391"/>
      <c r="M24" s="391"/>
    </row>
    <row r="25" spans="1:13" ht="13.5" customHeight="1">
      <c r="A25" s="391"/>
      <c r="B25" s="388" t="s">
        <v>532</v>
      </c>
      <c r="C25" s="389">
        <f>398661213</f>
        <v>398661213</v>
      </c>
      <c r="D25" s="389">
        <f>199297341</f>
        <v>199297341</v>
      </c>
      <c r="E25" s="389">
        <f>198409491</f>
        <v>198409491</v>
      </c>
      <c r="F25" s="390">
        <f t="shared" si="0"/>
        <v>2.1793456253450496</v>
      </c>
      <c r="G25" s="390">
        <f t="shared" si="1"/>
        <v>49.99165569688868</v>
      </c>
      <c r="H25" s="392"/>
      <c r="I25" s="391"/>
      <c r="J25" s="391"/>
      <c r="K25" s="391"/>
      <c r="L25" s="391"/>
      <c r="M25" s="391"/>
    </row>
    <row r="26" spans="1:13" ht="13.5" customHeight="1">
      <c r="A26" s="391"/>
      <c r="B26" s="388" t="s">
        <v>529</v>
      </c>
      <c r="C26" s="389">
        <f>1184487284</f>
        <v>1184487284</v>
      </c>
      <c r="D26" s="389">
        <f>592298769</f>
        <v>592298769</v>
      </c>
      <c r="E26" s="389">
        <f>590565279</f>
        <v>590565279</v>
      </c>
      <c r="F26" s="390">
        <f t="shared" si="0"/>
        <v>6.476873824008561</v>
      </c>
      <c r="G26" s="390">
        <f t="shared" si="1"/>
        <v>50.00465408119991</v>
      </c>
      <c r="H26" s="392"/>
      <c r="I26" s="391"/>
      <c r="J26" s="391"/>
      <c r="K26" s="391"/>
      <c r="L26" s="391"/>
      <c r="M26" s="391"/>
    </row>
    <row r="27" spans="2:8" s="391" customFormat="1" ht="22.5" customHeight="1">
      <c r="B27" s="388" t="s">
        <v>534</v>
      </c>
      <c r="C27" s="389">
        <f>533552</f>
        <v>533552</v>
      </c>
      <c r="D27" s="389">
        <f>452853</f>
        <v>452853</v>
      </c>
      <c r="E27" s="389">
        <f>452853</f>
        <v>452853</v>
      </c>
      <c r="F27" s="390">
        <f t="shared" si="0"/>
        <v>0.0049520139080750794</v>
      </c>
      <c r="G27" s="390">
        <f t="shared" si="1"/>
        <v>84.87513869313581</v>
      </c>
      <c r="H27" s="392"/>
    </row>
    <row r="28" spans="1:13" s="391" customFormat="1" ht="13.5" customHeight="1">
      <c r="A28" s="393"/>
      <c r="B28" s="394"/>
      <c r="C28" s="395"/>
      <c r="D28" s="396"/>
      <c r="E28" s="396"/>
      <c r="F28" s="397"/>
      <c r="G28" s="397"/>
      <c r="H28" s="397"/>
      <c r="I28" s="397"/>
      <c r="J28" s="397"/>
      <c r="K28" s="398"/>
      <c r="L28" s="398"/>
      <c r="M28" s="399"/>
    </row>
    <row r="29" spans="1:13" ht="75" customHeight="1">
      <c r="A29" s="391"/>
      <c r="B29" s="761" t="str">
        <f>CONCATENATE("Informacja z wykonania budżetów powiatów za ",$D$84," ",$C$85," roku")</f>
        <v>Informacja z wykonania budżetów powiatów za 2 kwartały 2008 roku</v>
      </c>
      <c r="C29" s="761"/>
      <c r="D29" s="761"/>
      <c r="E29" s="761"/>
      <c r="F29" s="761"/>
      <c r="G29" s="761"/>
      <c r="H29" s="761"/>
      <c r="I29" s="761"/>
      <c r="J29" s="761"/>
      <c r="K29" s="761"/>
      <c r="L29" s="761"/>
      <c r="M29" s="761"/>
    </row>
    <row r="30" spans="2:13" s="391" customFormat="1" ht="13.5" customHeight="1">
      <c r="B30" s="400"/>
      <c r="C30" s="395"/>
      <c r="D30" s="396"/>
      <c r="E30" s="396"/>
      <c r="F30" s="401"/>
      <c r="G30" s="401"/>
      <c r="H30" s="401"/>
      <c r="I30" s="401"/>
      <c r="J30" s="401"/>
      <c r="K30" s="398"/>
      <c r="L30" s="398"/>
      <c r="M30" s="399"/>
    </row>
    <row r="31" spans="1:27" ht="29.25" customHeight="1">
      <c r="A31" s="391"/>
      <c r="B31" s="758" t="s">
        <v>500</v>
      </c>
      <c r="C31" s="759" t="s">
        <v>597</v>
      </c>
      <c r="D31" s="759" t="s">
        <v>598</v>
      </c>
      <c r="E31" s="759" t="s">
        <v>599</v>
      </c>
      <c r="F31" s="759" t="s">
        <v>535</v>
      </c>
      <c r="G31" s="759"/>
      <c r="H31" s="759"/>
      <c r="I31" s="759" t="s">
        <v>600</v>
      </c>
      <c r="J31" s="759"/>
      <c r="K31" s="759" t="s">
        <v>501</v>
      </c>
      <c r="L31" s="757" t="s">
        <v>536</v>
      </c>
      <c r="M31" s="391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</row>
    <row r="32" spans="1:27" ht="18" customHeight="1">
      <c r="A32" s="391"/>
      <c r="B32" s="758"/>
      <c r="C32" s="759"/>
      <c r="D32" s="765"/>
      <c r="E32" s="759"/>
      <c r="F32" s="775" t="s">
        <v>601</v>
      </c>
      <c r="G32" s="776" t="s">
        <v>537</v>
      </c>
      <c r="H32" s="765"/>
      <c r="I32" s="759"/>
      <c r="J32" s="759"/>
      <c r="K32" s="759"/>
      <c r="L32" s="757"/>
      <c r="M32" s="412"/>
      <c r="N32" s="403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</row>
    <row r="33" spans="1:27" ht="36" customHeight="1">
      <c r="A33" s="391"/>
      <c r="B33" s="758"/>
      <c r="C33" s="759"/>
      <c r="D33" s="765"/>
      <c r="E33" s="759"/>
      <c r="F33" s="765"/>
      <c r="G33" s="411" t="s">
        <v>602</v>
      </c>
      <c r="H33" s="411" t="s">
        <v>603</v>
      </c>
      <c r="I33" s="759"/>
      <c r="J33" s="759"/>
      <c r="K33" s="759"/>
      <c r="L33" s="757"/>
      <c r="M33" s="41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</row>
    <row r="34" spans="1:27" ht="13.5" customHeight="1">
      <c r="A34" s="391"/>
      <c r="B34" s="758"/>
      <c r="C34" s="760"/>
      <c r="D34" s="760"/>
      <c r="E34" s="760"/>
      <c r="F34" s="760"/>
      <c r="G34" s="760"/>
      <c r="H34" s="760"/>
      <c r="I34" s="760"/>
      <c r="J34" s="760"/>
      <c r="K34" s="760" t="s">
        <v>12</v>
      </c>
      <c r="L34" s="760"/>
      <c r="M34" s="391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</row>
    <row r="35" spans="1:27" ht="11.25" customHeight="1">
      <c r="A35" s="391"/>
      <c r="B35" s="405">
        <v>1</v>
      </c>
      <c r="C35" s="406">
        <v>2</v>
      </c>
      <c r="D35" s="406">
        <v>3</v>
      </c>
      <c r="E35" s="406">
        <v>4</v>
      </c>
      <c r="F35" s="405">
        <v>5</v>
      </c>
      <c r="G35" s="405">
        <v>6</v>
      </c>
      <c r="H35" s="406">
        <v>7</v>
      </c>
      <c r="I35" s="765">
        <v>8</v>
      </c>
      <c r="J35" s="765"/>
      <c r="K35" s="405">
        <v>9</v>
      </c>
      <c r="L35" s="406">
        <v>10</v>
      </c>
      <c r="M35" s="391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</row>
    <row r="36" spans="1:13" ht="25.5" customHeight="1">
      <c r="A36" s="391"/>
      <c r="B36" s="407" t="s">
        <v>538</v>
      </c>
      <c r="C36" s="413">
        <f>18642102478.12</f>
        <v>18642102478.12</v>
      </c>
      <c r="D36" s="413">
        <f>12811903793.64</f>
        <v>12811903793.64</v>
      </c>
      <c r="E36" s="413">
        <f>7725611101.39</f>
        <v>7725611101.39</v>
      </c>
      <c r="F36" s="413">
        <f>379557125.39</f>
        <v>379557125.39</v>
      </c>
      <c r="G36" s="413">
        <f>2834533.74</f>
        <v>2834533.74</v>
      </c>
      <c r="H36" s="413">
        <f>3224253.28</f>
        <v>3224253.28</v>
      </c>
      <c r="I36" s="777">
        <f>0</f>
        <v>0</v>
      </c>
      <c r="J36" s="777"/>
      <c r="K36" s="414">
        <f aca="true" t="shared" si="2" ref="K36:K46">IF($E$36=0,"",100*$E36/$E$36)</f>
        <v>100</v>
      </c>
      <c r="L36" s="414">
        <f aca="true" t="shared" si="3" ref="L36:L46">IF(C36=0,"",100*E36/C36)</f>
        <v>41.44173711338328</v>
      </c>
      <c r="M36" s="391"/>
    </row>
    <row r="37" spans="1:13" ht="24" customHeight="1">
      <c r="A37" s="391"/>
      <c r="B37" s="407" t="s">
        <v>539</v>
      </c>
      <c r="C37" s="415">
        <f>3316094912.33</f>
        <v>3316094912.33</v>
      </c>
      <c r="D37" s="415">
        <f>1154473262.55</f>
        <v>1154473262.55</v>
      </c>
      <c r="E37" s="415">
        <f>488740246.91</f>
        <v>488740246.91</v>
      </c>
      <c r="F37" s="415">
        <f>47019859.02</f>
        <v>47019859.02</v>
      </c>
      <c r="G37" s="415">
        <f>0</f>
        <v>0</v>
      </c>
      <c r="H37" s="415">
        <f>646588</f>
        <v>646588</v>
      </c>
      <c r="I37" s="778">
        <f>0</f>
        <v>0</v>
      </c>
      <c r="J37" s="778"/>
      <c r="K37" s="414">
        <f t="shared" si="2"/>
        <v>6.326234138579216</v>
      </c>
      <c r="L37" s="414">
        <f t="shared" si="3"/>
        <v>14.738427573129824</v>
      </c>
      <c r="M37" s="391"/>
    </row>
    <row r="38" spans="1:13" ht="22.5" customHeight="1">
      <c r="A38" s="391"/>
      <c r="B38" s="388" t="s">
        <v>540</v>
      </c>
      <c r="C38" s="389">
        <f>3305251652.33</f>
        <v>3305251652.33</v>
      </c>
      <c r="D38" s="389">
        <f>1146397502.55</f>
        <v>1146397502.55</v>
      </c>
      <c r="E38" s="389">
        <f>482185986.91</f>
        <v>482185986.91</v>
      </c>
      <c r="F38" s="389">
        <f>47019859.02</f>
        <v>47019859.02</v>
      </c>
      <c r="G38" s="389">
        <f>0</f>
        <v>0</v>
      </c>
      <c r="H38" s="389">
        <f>646588</f>
        <v>646588</v>
      </c>
      <c r="I38" s="779">
        <f>0</f>
        <v>0</v>
      </c>
      <c r="J38" s="779"/>
      <c r="K38" s="416">
        <f t="shared" si="2"/>
        <v>6.241396060219037</v>
      </c>
      <c r="L38" s="416">
        <f t="shared" si="3"/>
        <v>14.588480322522141</v>
      </c>
      <c r="M38" s="391"/>
    </row>
    <row r="39" spans="1:13" ht="25.5" customHeight="1">
      <c r="A39" s="391"/>
      <c r="B39" s="407" t="s">
        <v>541</v>
      </c>
      <c r="C39" s="415">
        <f aca="true" t="shared" si="4" ref="C39:I39">C36-C37</f>
        <v>15326007565.789999</v>
      </c>
      <c r="D39" s="415">
        <f t="shared" si="4"/>
        <v>11657430531.09</v>
      </c>
      <c r="E39" s="415">
        <f t="shared" si="4"/>
        <v>7236870854.4800005</v>
      </c>
      <c r="F39" s="415">
        <f t="shared" si="4"/>
        <v>332537266.37</v>
      </c>
      <c r="G39" s="415">
        <f t="shared" si="4"/>
        <v>2834533.74</v>
      </c>
      <c r="H39" s="415">
        <f t="shared" si="4"/>
        <v>2577665.28</v>
      </c>
      <c r="I39" s="778">
        <f t="shared" si="4"/>
        <v>0</v>
      </c>
      <c r="J39" s="778"/>
      <c r="K39" s="414">
        <f t="shared" si="2"/>
        <v>93.67376586142078</v>
      </c>
      <c r="L39" s="414">
        <f t="shared" si="3"/>
        <v>47.21954379452224</v>
      </c>
      <c r="M39" s="391"/>
    </row>
    <row r="40" spans="1:13" ht="13.5" customHeight="1">
      <c r="A40" s="391"/>
      <c r="B40" s="388" t="s">
        <v>542</v>
      </c>
      <c r="C40" s="389">
        <f>7694607265.99</f>
        <v>7694607265.99</v>
      </c>
      <c r="D40" s="389">
        <f>6638764408.29</f>
        <v>6638764408.29</v>
      </c>
      <c r="E40" s="389">
        <f>3883860865.23</f>
        <v>3883860865.23</v>
      </c>
      <c r="F40" s="389">
        <f>120023908.83</f>
        <v>120023908.83</v>
      </c>
      <c r="G40" s="389">
        <f>0</f>
        <v>0</v>
      </c>
      <c r="H40" s="389">
        <f>22521.46</f>
        <v>22521.46</v>
      </c>
      <c r="I40" s="779">
        <f>0</f>
        <v>0</v>
      </c>
      <c r="J40" s="779"/>
      <c r="K40" s="416">
        <f t="shared" si="2"/>
        <v>50.27253914620698</v>
      </c>
      <c r="L40" s="416">
        <f t="shared" si="3"/>
        <v>50.475101989890796</v>
      </c>
      <c r="M40" s="391"/>
    </row>
    <row r="41" spans="1:13" ht="22.5" customHeight="1">
      <c r="A41" s="391"/>
      <c r="B41" s="410" t="s">
        <v>543</v>
      </c>
      <c r="C41" s="417">
        <f>7018210900.45</f>
        <v>7018210900.45</v>
      </c>
      <c r="D41" s="417">
        <f>6045906006.51</f>
        <v>6045906006.51</v>
      </c>
      <c r="E41" s="417">
        <f>3327570843.31</f>
        <v>3327570843.31</v>
      </c>
      <c r="F41" s="417">
        <f>117672389.35</f>
        <v>117672389.35</v>
      </c>
      <c r="G41" s="417">
        <f>0</f>
        <v>0</v>
      </c>
      <c r="H41" s="417">
        <f>21001.51</f>
        <v>21001.51</v>
      </c>
      <c r="I41" s="780">
        <f>0</f>
        <v>0</v>
      </c>
      <c r="J41" s="780"/>
      <c r="K41" s="416">
        <f t="shared" si="2"/>
        <v>43.07194343126203</v>
      </c>
      <c r="L41" s="416">
        <f t="shared" si="3"/>
        <v>47.4133777184815</v>
      </c>
      <c r="M41" s="391"/>
    </row>
    <row r="42" spans="1:13" ht="13.5" customHeight="1">
      <c r="A42" s="391"/>
      <c r="B42" s="388" t="s">
        <v>544</v>
      </c>
      <c r="C42" s="389">
        <f>1650475949.79</f>
        <v>1650475949.79</v>
      </c>
      <c r="D42" s="389">
        <f>1388049989.53</f>
        <v>1388049989.53</v>
      </c>
      <c r="E42" s="389">
        <f>794105865.98</f>
        <v>794105865.98</v>
      </c>
      <c r="F42" s="389">
        <f>93451655.14</f>
        <v>93451655.14</v>
      </c>
      <c r="G42" s="389">
        <f>0</f>
        <v>0</v>
      </c>
      <c r="H42" s="389">
        <f>3405.4</f>
        <v>3405.4</v>
      </c>
      <c r="I42" s="779">
        <f>0</f>
        <v>0</v>
      </c>
      <c r="J42" s="779"/>
      <c r="K42" s="416">
        <f t="shared" si="2"/>
        <v>10.27887445482628</v>
      </c>
      <c r="L42" s="416">
        <f t="shared" si="3"/>
        <v>48.11374961755964</v>
      </c>
      <c r="M42" s="391"/>
    </row>
    <row r="43" spans="1:13" ht="13.5" customHeight="1">
      <c r="A43" s="391"/>
      <c r="B43" s="388" t="s">
        <v>545</v>
      </c>
      <c r="C43" s="417">
        <f>1081999155.75</f>
        <v>1081999155.75</v>
      </c>
      <c r="D43" s="417">
        <f>777654152.27</f>
        <v>777654152.27</v>
      </c>
      <c r="E43" s="417">
        <f>520194377.03</f>
        <v>520194377.03</v>
      </c>
      <c r="F43" s="417">
        <f>1828359.18</f>
        <v>1828359.18</v>
      </c>
      <c r="G43" s="417">
        <f>134150.38</f>
        <v>134150.38</v>
      </c>
      <c r="H43" s="417">
        <f>0</f>
        <v>0</v>
      </c>
      <c r="I43" s="780">
        <f>0</f>
        <v>0</v>
      </c>
      <c r="J43" s="780"/>
      <c r="K43" s="416">
        <f t="shared" si="2"/>
        <v>6.733375136322952</v>
      </c>
      <c r="L43" s="416">
        <f t="shared" si="3"/>
        <v>48.077151841160294</v>
      </c>
      <c r="M43" s="391"/>
    </row>
    <row r="44" spans="1:13" ht="13.5" customHeight="1">
      <c r="A44" s="391"/>
      <c r="B44" s="388" t="s">
        <v>546</v>
      </c>
      <c r="C44" s="389">
        <f>155547043</f>
        <v>155547043</v>
      </c>
      <c r="D44" s="389">
        <f>86212888.28</f>
        <v>86212888.28</v>
      </c>
      <c r="E44" s="389">
        <f>67451718.64</f>
        <v>67451718.64</v>
      </c>
      <c r="F44" s="389">
        <f>2349642.33</f>
        <v>2349642.33</v>
      </c>
      <c r="G44" s="389">
        <f>0</f>
        <v>0</v>
      </c>
      <c r="H44" s="389">
        <f>0</f>
        <v>0</v>
      </c>
      <c r="I44" s="779">
        <f>0</f>
        <v>0</v>
      </c>
      <c r="J44" s="779"/>
      <c r="K44" s="416">
        <f t="shared" si="2"/>
        <v>0.8730923386483176</v>
      </c>
      <c r="L44" s="416">
        <f t="shared" si="3"/>
        <v>43.3641921691819</v>
      </c>
      <c r="M44" s="391"/>
    </row>
    <row r="45" spans="1:13" ht="22.5" customHeight="1">
      <c r="A45" s="391"/>
      <c r="B45" s="388" t="s">
        <v>547</v>
      </c>
      <c r="C45" s="417">
        <f>128516241</f>
        <v>128516241</v>
      </c>
      <c r="D45" s="417">
        <f>36248585.63</f>
        <v>36248585.63</v>
      </c>
      <c r="E45" s="417">
        <f>17449976.09</f>
        <v>17449976.09</v>
      </c>
      <c r="F45" s="417">
        <f>100000</f>
        <v>100000</v>
      </c>
      <c r="G45" s="417">
        <f>0</f>
        <v>0</v>
      </c>
      <c r="H45" s="417">
        <f>0</f>
        <v>0</v>
      </c>
      <c r="I45" s="780">
        <f>0</f>
        <v>0</v>
      </c>
      <c r="J45" s="780"/>
      <c r="K45" s="416">
        <f t="shared" si="2"/>
        <v>0.22587179008868802</v>
      </c>
      <c r="L45" s="416">
        <f t="shared" si="3"/>
        <v>13.57803181467158</v>
      </c>
      <c r="M45" s="391"/>
    </row>
    <row r="46" spans="1:13" ht="13.5" customHeight="1">
      <c r="A46" s="391"/>
      <c r="B46" s="388" t="s">
        <v>548</v>
      </c>
      <c r="C46" s="389">
        <f aca="true" t="shared" si="5" ref="C46:I46">C39-C40-C42-C43-C44-C45</f>
        <v>4614861910.259999</v>
      </c>
      <c r="D46" s="389">
        <f t="shared" si="5"/>
        <v>2730500507.09</v>
      </c>
      <c r="E46" s="389">
        <f t="shared" si="5"/>
        <v>1953808051.5100005</v>
      </c>
      <c r="F46" s="389">
        <f t="shared" si="5"/>
        <v>114783700.89000002</v>
      </c>
      <c r="G46" s="389">
        <f t="shared" si="5"/>
        <v>2700383.3600000003</v>
      </c>
      <c r="H46" s="389">
        <f t="shared" si="5"/>
        <v>2551738.42</v>
      </c>
      <c r="I46" s="779">
        <f t="shared" si="5"/>
        <v>0</v>
      </c>
      <c r="J46" s="779">
        <f>J39-J40-J42-J43-J44</f>
        <v>0</v>
      </c>
      <c r="K46" s="416">
        <f t="shared" si="2"/>
        <v>25.290012995327572</v>
      </c>
      <c r="L46" s="416">
        <f t="shared" si="3"/>
        <v>42.337302599806804</v>
      </c>
      <c r="M46" s="391"/>
    </row>
    <row r="47" spans="1:13" ht="24" customHeight="1">
      <c r="A47" s="391"/>
      <c r="B47" s="407" t="s">
        <v>549</v>
      </c>
      <c r="C47" s="415">
        <f>C6-C36</f>
        <v>-1275000870.6499977</v>
      </c>
      <c r="D47" s="415"/>
      <c r="E47" s="415">
        <f>D6-E36</f>
        <v>1419213780.0899992</v>
      </c>
      <c r="F47" s="415"/>
      <c r="G47" s="415"/>
      <c r="H47" s="415"/>
      <c r="I47" s="778"/>
      <c r="J47" s="778"/>
      <c r="K47" s="418"/>
      <c r="L47" s="418"/>
      <c r="M47" s="419"/>
    </row>
    <row r="48" spans="1:13" ht="12" customHeight="1">
      <c r="A48" s="391"/>
      <c r="B48" s="420"/>
      <c r="C48" s="421"/>
      <c r="D48" s="421"/>
      <c r="E48" s="421"/>
      <c r="F48" s="399"/>
      <c r="G48" s="399"/>
      <c r="H48" s="399"/>
      <c r="I48" s="399"/>
      <c r="J48" s="391"/>
      <c r="K48" s="391"/>
      <c r="L48" s="422"/>
      <c r="M48" s="422"/>
    </row>
    <row r="49" spans="1:13" ht="12" customHeight="1">
      <c r="A49" s="391"/>
      <c r="B49" s="420"/>
      <c r="C49" s="421"/>
      <c r="D49" s="421"/>
      <c r="E49" s="421"/>
      <c r="F49" s="399"/>
      <c r="G49" s="399"/>
      <c r="H49" s="399"/>
      <c r="I49" s="399"/>
      <c r="J49" s="391"/>
      <c r="K49" s="391"/>
      <c r="L49" s="422"/>
      <c r="M49" s="422"/>
    </row>
    <row r="50" spans="1:13" ht="12" customHeight="1">
      <c r="A50" s="391"/>
      <c r="B50" s="420"/>
      <c r="C50" s="421"/>
      <c r="D50" s="421"/>
      <c r="E50" s="421"/>
      <c r="F50" s="399"/>
      <c r="G50" s="399"/>
      <c r="H50" s="399"/>
      <c r="I50" s="399"/>
      <c r="J50" s="391"/>
      <c r="K50" s="391"/>
      <c r="L50" s="422"/>
      <c r="M50" s="422"/>
    </row>
    <row r="51" spans="1:13" ht="12" customHeight="1">
      <c r="A51" s="391"/>
      <c r="B51" s="420"/>
      <c r="C51" s="421"/>
      <c r="D51" s="421"/>
      <c r="E51" s="421"/>
      <c r="F51" s="399"/>
      <c r="G51" s="399"/>
      <c r="H51" s="399"/>
      <c r="I51" s="399"/>
      <c r="J51" s="391"/>
      <c r="K51" s="391"/>
      <c r="L51" s="422"/>
      <c r="M51" s="422"/>
    </row>
    <row r="52" spans="1:13" ht="12.75">
      <c r="A52" s="391"/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ht="12.75">
      <c r="A53" s="391"/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</row>
    <row r="54" spans="1:13" ht="75" customHeight="1">
      <c r="A54" s="391"/>
      <c r="B54" s="761" t="str">
        <f>CONCATENATE("Informacja z wykonania budżetów powiatów za ",$D$84," ",$C$85," roku")</f>
        <v>Informacja z wykonania budżetów powiatów za 2 kwartały 2008 roku</v>
      </c>
      <c r="C54" s="761"/>
      <c r="D54" s="761"/>
      <c r="E54" s="761"/>
      <c r="F54" s="761"/>
      <c r="G54" s="761"/>
      <c r="H54" s="761"/>
      <c r="I54" s="761"/>
      <c r="J54" s="761"/>
      <c r="K54" s="761"/>
      <c r="L54" s="761"/>
      <c r="M54" s="761"/>
    </row>
    <row r="55" spans="1:13" ht="12.75">
      <c r="A55" s="391"/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</row>
    <row r="56" spans="1:13" ht="18" customHeight="1">
      <c r="A56" s="391"/>
      <c r="B56" s="764" t="s">
        <v>460</v>
      </c>
      <c r="C56" s="764"/>
      <c r="D56" s="765" t="s">
        <v>550</v>
      </c>
      <c r="E56" s="765"/>
      <c r="F56" s="765" t="s">
        <v>551</v>
      </c>
      <c r="G56" s="765"/>
      <c r="H56" s="406" t="s">
        <v>552</v>
      </c>
      <c r="I56" s="406" t="s">
        <v>553</v>
      </c>
      <c r="J56" s="391"/>
      <c r="K56" s="391"/>
      <c r="L56" s="391"/>
      <c r="M56" s="391"/>
    </row>
    <row r="57" spans="1:13" ht="13.5" customHeight="1">
      <c r="A57" s="391"/>
      <c r="B57" s="764"/>
      <c r="C57" s="764"/>
      <c r="D57" s="759"/>
      <c r="E57" s="759"/>
      <c r="F57" s="759"/>
      <c r="G57" s="759"/>
      <c r="H57" s="774" t="s">
        <v>12</v>
      </c>
      <c r="I57" s="774"/>
      <c r="J57" s="423"/>
      <c r="K57" s="391"/>
      <c r="L57" s="391"/>
      <c r="M57" s="391"/>
    </row>
    <row r="58" spans="1:13" ht="11.25" customHeight="1">
      <c r="A58" s="391"/>
      <c r="B58" s="762">
        <v>1</v>
      </c>
      <c r="C58" s="759"/>
      <c r="D58" s="763">
        <v>2</v>
      </c>
      <c r="E58" s="763"/>
      <c r="F58" s="763">
        <v>3</v>
      </c>
      <c r="G58" s="763"/>
      <c r="H58" s="424">
        <v>4</v>
      </c>
      <c r="I58" s="424">
        <v>5</v>
      </c>
      <c r="J58" s="422"/>
      <c r="K58" s="391"/>
      <c r="L58" s="391"/>
      <c r="M58" s="391"/>
    </row>
    <row r="59" spans="1:13" ht="25.5" customHeight="1">
      <c r="A59" s="391"/>
      <c r="B59" s="766" t="s">
        <v>554</v>
      </c>
      <c r="C59" s="766"/>
      <c r="D59" s="767">
        <f>1284091411.74</f>
        <v>1284091411.74</v>
      </c>
      <c r="E59" s="768"/>
      <c r="F59" s="767">
        <f>451609919.36</f>
        <v>451609919.36</v>
      </c>
      <c r="G59" s="768"/>
      <c r="H59" s="414"/>
      <c r="I59" s="414"/>
      <c r="J59" s="425"/>
      <c r="K59" s="391"/>
      <c r="L59" s="391"/>
      <c r="M59" s="391"/>
    </row>
    <row r="60" spans="1:13" ht="25.5" customHeight="1">
      <c r="A60" s="391"/>
      <c r="B60" s="769" t="s">
        <v>555</v>
      </c>
      <c r="C60" s="766"/>
      <c r="D60" s="767">
        <f>1973654900.66</f>
        <v>1973654900.66</v>
      </c>
      <c r="E60" s="768"/>
      <c r="F60" s="767">
        <f>814017086.64</f>
        <v>814017086.64</v>
      </c>
      <c r="G60" s="768"/>
      <c r="H60" s="308">
        <f aca="true" t="shared" si="6" ref="H60:H72">IF($F$60=0,"",100*$F60/$F$60)</f>
        <v>100</v>
      </c>
      <c r="I60" s="414">
        <f aca="true" t="shared" si="7" ref="I60:I81">IF(D60=0,"",100*F60/D60)</f>
        <v>41.24414487901551</v>
      </c>
      <c r="J60" s="391"/>
      <c r="K60" s="391"/>
      <c r="L60" s="391"/>
      <c r="M60" s="391"/>
    </row>
    <row r="61" spans="1:13" ht="13.5" customHeight="1">
      <c r="A61" s="391"/>
      <c r="B61" s="770" t="s">
        <v>556</v>
      </c>
      <c r="C61" s="770"/>
      <c r="D61" s="771">
        <f>1207765313.45</f>
        <v>1207765313.45</v>
      </c>
      <c r="E61" s="772"/>
      <c r="F61" s="771">
        <f>69683503.25</f>
        <v>69683503.25</v>
      </c>
      <c r="G61" s="772"/>
      <c r="H61" s="416">
        <f t="shared" si="6"/>
        <v>8.56044724289892</v>
      </c>
      <c r="I61" s="416">
        <f t="shared" si="7"/>
        <v>5.769622829368068</v>
      </c>
      <c r="J61" s="391"/>
      <c r="K61" s="391"/>
      <c r="L61" s="391"/>
      <c r="M61" s="391"/>
    </row>
    <row r="62" spans="1:13" ht="45" customHeight="1">
      <c r="A62" s="391"/>
      <c r="B62" s="773" t="s">
        <v>577</v>
      </c>
      <c r="C62" s="773" t="s">
        <v>558</v>
      </c>
      <c r="D62" s="771">
        <f>78958448.46</f>
        <v>78958448.46</v>
      </c>
      <c r="E62" s="772"/>
      <c r="F62" s="771">
        <f>14230408.73</f>
        <v>14230408.73</v>
      </c>
      <c r="G62" s="772"/>
      <c r="H62" s="416">
        <f t="shared" si="6"/>
        <v>1.748170764908454</v>
      </c>
      <c r="I62" s="416">
        <f t="shared" si="7"/>
        <v>18.022654962893633</v>
      </c>
      <c r="J62" s="391"/>
      <c r="K62" s="391"/>
      <c r="L62" s="391"/>
      <c r="M62" s="391"/>
    </row>
    <row r="63" spans="1:13" ht="13.5" customHeight="1">
      <c r="A63" s="391"/>
      <c r="B63" s="770" t="s">
        <v>559</v>
      </c>
      <c r="C63" s="770" t="s">
        <v>560</v>
      </c>
      <c r="D63" s="771">
        <f>15020734</f>
        <v>15020734</v>
      </c>
      <c r="E63" s="772"/>
      <c r="F63" s="771">
        <f>2422954.35</f>
        <v>2422954.35</v>
      </c>
      <c r="G63" s="772"/>
      <c r="H63" s="416">
        <f t="shared" si="6"/>
        <v>0.2976539915152364</v>
      </c>
      <c r="I63" s="416">
        <f t="shared" si="7"/>
        <v>16.130732026810406</v>
      </c>
      <c r="J63" s="391"/>
      <c r="K63" s="391"/>
      <c r="L63" s="391"/>
      <c r="M63" s="391"/>
    </row>
    <row r="64" spans="1:13" ht="13.5" customHeight="1">
      <c r="A64" s="391"/>
      <c r="B64" s="770" t="s">
        <v>561</v>
      </c>
      <c r="C64" s="770" t="s">
        <v>562</v>
      </c>
      <c r="D64" s="771">
        <f>156538953.68</f>
        <v>156538953.68</v>
      </c>
      <c r="E64" s="772"/>
      <c r="F64" s="771">
        <f>190020351.01</f>
        <v>190020351.01</v>
      </c>
      <c r="G64" s="772"/>
      <c r="H64" s="416">
        <f t="shared" si="6"/>
        <v>23.34353346246609</v>
      </c>
      <c r="I64" s="416">
        <f t="shared" si="7"/>
        <v>121.38854038748931</v>
      </c>
      <c r="J64" s="391"/>
      <c r="K64" s="391"/>
      <c r="L64" s="391"/>
      <c r="M64" s="391"/>
    </row>
    <row r="65" spans="1:13" ht="13.5" customHeight="1">
      <c r="A65" s="391"/>
      <c r="B65" s="773" t="s">
        <v>563</v>
      </c>
      <c r="C65" s="773" t="s">
        <v>564</v>
      </c>
      <c r="D65" s="771">
        <f>97667006.17</f>
        <v>97667006.17</v>
      </c>
      <c r="E65" s="772"/>
      <c r="F65" s="771">
        <f>24951758.05</f>
        <v>24951758.05</v>
      </c>
      <c r="G65" s="772"/>
      <c r="H65" s="416">
        <f t="shared" si="6"/>
        <v>3.0652621989782562</v>
      </c>
      <c r="I65" s="416">
        <f t="shared" si="7"/>
        <v>25.547786328751354</v>
      </c>
      <c r="J65" s="391"/>
      <c r="K65" s="391"/>
      <c r="L65" s="391"/>
      <c r="M65" s="391"/>
    </row>
    <row r="66" spans="1:13" ht="13.5" customHeight="1">
      <c r="A66" s="391"/>
      <c r="B66" s="770" t="s">
        <v>565</v>
      </c>
      <c r="C66" s="770" t="s">
        <v>566</v>
      </c>
      <c r="D66" s="771">
        <f>17482000</f>
        <v>17482000</v>
      </c>
      <c r="E66" s="772"/>
      <c r="F66" s="771">
        <f>0</f>
        <v>0</v>
      </c>
      <c r="G66" s="772"/>
      <c r="H66" s="416">
        <f t="shared" si="6"/>
        <v>0</v>
      </c>
      <c r="I66" s="416">
        <f t="shared" si="7"/>
        <v>0</v>
      </c>
      <c r="J66" s="391"/>
      <c r="K66" s="391"/>
      <c r="L66" s="391"/>
      <c r="M66" s="391"/>
    </row>
    <row r="67" spans="1:13" ht="45" customHeight="1">
      <c r="A67" s="391"/>
      <c r="B67" s="773" t="s">
        <v>577</v>
      </c>
      <c r="C67" s="773" t="s">
        <v>558</v>
      </c>
      <c r="D67" s="771">
        <f>0</f>
        <v>0</v>
      </c>
      <c r="E67" s="772"/>
      <c r="F67" s="771">
        <f>0</f>
        <v>0</v>
      </c>
      <c r="G67" s="772"/>
      <c r="H67" s="416">
        <f t="shared" si="6"/>
        <v>0</v>
      </c>
      <c r="I67" s="416">
        <f t="shared" si="7"/>
      </c>
      <c r="J67" s="391"/>
      <c r="K67" s="391"/>
      <c r="L67" s="391"/>
      <c r="M67" s="391"/>
    </row>
    <row r="68" spans="1:13" ht="22.5" customHeight="1">
      <c r="A68" s="391"/>
      <c r="B68" s="770" t="s">
        <v>567</v>
      </c>
      <c r="C68" s="770" t="s">
        <v>568</v>
      </c>
      <c r="D68" s="771">
        <f>145909500</f>
        <v>145909500</v>
      </c>
      <c r="E68" s="772"/>
      <c r="F68" s="771">
        <f>11560000</f>
        <v>11560000</v>
      </c>
      <c r="G68" s="772"/>
      <c r="H68" s="416">
        <f t="shared" si="6"/>
        <v>1.4201176105179747</v>
      </c>
      <c r="I68" s="416">
        <f t="shared" si="7"/>
        <v>7.922719219790349</v>
      </c>
      <c r="J68" s="391"/>
      <c r="K68" s="391"/>
      <c r="L68" s="391"/>
      <c r="M68" s="391"/>
    </row>
    <row r="69" spans="1:13" ht="45" customHeight="1">
      <c r="A69" s="391"/>
      <c r="B69" s="773" t="s">
        <v>577</v>
      </c>
      <c r="C69" s="773" t="s">
        <v>558</v>
      </c>
      <c r="D69" s="771">
        <f>9887195</f>
        <v>9887195</v>
      </c>
      <c r="E69" s="772"/>
      <c r="F69" s="771">
        <f>0</f>
        <v>0</v>
      </c>
      <c r="G69" s="772"/>
      <c r="H69" s="416">
        <f t="shared" si="6"/>
        <v>0</v>
      </c>
      <c r="I69" s="416">
        <f t="shared" si="7"/>
        <v>0</v>
      </c>
      <c r="J69" s="391"/>
      <c r="K69" s="391"/>
      <c r="L69" s="391"/>
      <c r="M69" s="391"/>
    </row>
    <row r="70" spans="1:13" ht="13.5" customHeight="1">
      <c r="A70" s="391"/>
      <c r="B70" s="770" t="s">
        <v>569</v>
      </c>
      <c r="C70" s="770" t="s">
        <v>570</v>
      </c>
      <c r="D70" s="771">
        <f>0</f>
        <v>0</v>
      </c>
      <c r="E70" s="772"/>
      <c r="F70" s="771">
        <f>0</f>
        <v>0</v>
      </c>
      <c r="G70" s="772"/>
      <c r="H70" s="416">
        <f t="shared" si="6"/>
        <v>0</v>
      </c>
      <c r="I70" s="416">
        <f t="shared" si="7"/>
      </c>
      <c r="J70" s="391"/>
      <c r="K70" s="391"/>
      <c r="L70" s="391"/>
      <c r="M70" s="391"/>
    </row>
    <row r="71" spans="1:13" ht="13.5" customHeight="1">
      <c r="A71" s="391"/>
      <c r="B71" s="770" t="s">
        <v>571</v>
      </c>
      <c r="C71" s="770" t="s">
        <v>572</v>
      </c>
      <c r="D71" s="771">
        <f>430938399.53</f>
        <v>430938399.53</v>
      </c>
      <c r="E71" s="772"/>
      <c r="F71" s="771">
        <f>540330278.03</f>
        <v>540330278.03</v>
      </c>
      <c r="G71" s="772"/>
      <c r="H71" s="416">
        <f t="shared" si="6"/>
        <v>66.37824769260178</v>
      </c>
      <c r="I71" s="416">
        <f t="shared" si="7"/>
        <v>125.3845743659204</v>
      </c>
      <c r="J71" s="391"/>
      <c r="K71" s="391"/>
      <c r="L71" s="391"/>
      <c r="M71" s="391"/>
    </row>
    <row r="72" spans="1:13" ht="13.5" customHeight="1">
      <c r="A72" s="391"/>
      <c r="B72" s="773" t="s">
        <v>563</v>
      </c>
      <c r="C72" s="773" t="s">
        <v>564</v>
      </c>
      <c r="D72" s="771">
        <f>252845487.13</f>
        <v>252845487.13</v>
      </c>
      <c r="E72" s="772"/>
      <c r="F72" s="771">
        <f>51496544.31</f>
        <v>51496544.31</v>
      </c>
      <c r="G72" s="772"/>
      <c r="H72" s="416">
        <f t="shared" si="6"/>
        <v>6.326224001336524</v>
      </c>
      <c r="I72" s="416">
        <f t="shared" si="7"/>
        <v>20.36680381150056</v>
      </c>
      <c r="J72" s="391"/>
      <c r="K72" s="391"/>
      <c r="L72" s="391"/>
      <c r="M72" s="391"/>
    </row>
    <row r="73" spans="1:13" ht="25.5" customHeight="1">
      <c r="A73" s="391"/>
      <c r="B73" s="769" t="s">
        <v>573</v>
      </c>
      <c r="C73" s="766" t="s">
        <v>574</v>
      </c>
      <c r="D73" s="767">
        <f>689563488.92</f>
        <v>689563488.92</v>
      </c>
      <c r="E73" s="768"/>
      <c r="F73" s="767">
        <f>362407167.28</f>
        <v>362407167.28</v>
      </c>
      <c r="G73" s="768"/>
      <c r="H73" s="308">
        <f aca="true" t="shared" si="8" ref="H73:H81">IF($F$73=0,"",100*$F73/$F$73)</f>
        <v>100.00000000000001</v>
      </c>
      <c r="I73" s="414">
        <f t="shared" si="7"/>
        <v>52.556026109735754</v>
      </c>
      <c r="J73" s="391"/>
      <c r="K73" s="391"/>
      <c r="L73" s="391"/>
      <c r="M73" s="391"/>
    </row>
    <row r="74" spans="1:13" ht="13.5" customHeight="1">
      <c r="A74" s="391"/>
      <c r="B74" s="770" t="s">
        <v>575</v>
      </c>
      <c r="C74" s="770" t="s">
        <v>576</v>
      </c>
      <c r="D74" s="771">
        <f>565811637.92</f>
        <v>565811637.92</v>
      </c>
      <c r="E74" s="772"/>
      <c r="F74" s="771">
        <f>289115120.11</f>
        <v>289115120.11</v>
      </c>
      <c r="G74" s="772"/>
      <c r="H74" s="416">
        <f t="shared" si="8"/>
        <v>79.77632514277134</v>
      </c>
      <c r="I74" s="416">
        <f t="shared" si="7"/>
        <v>51.09741488754566</v>
      </c>
      <c r="J74" s="391"/>
      <c r="K74" s="391"/>
      <c r="L74" s="391"/>
      <c r="M74" s="391"/>
    </row>
    <row r="75" spans="1:13" ht="45" customHeight="1">
      <c r="A75" s="391"/>
      <c r="B75" s="773" t="s">
        <v>577</v>
      </c>
      <c r="C75" s="773" t="s">
        <v>558</v>
      </c>
      <c r="D75" s="771">
        <f>83533797.8</f>
        <v>83533797.8</v>
      </c>
      <c r="E75" s="772"/>
      <c r="F75" s="771">
        <f>51182881.99</f>
        <v>51182881.99</v>
      </c>
      <c r="G75" s="772"/>
      <c r="H75" s="416">
        <f t="shared" si="8"/>
        <v>14.123032492471516</v>
      </c>
      <c r="I75" s="416">
        <f t="shared" si="7"/>
        <v>61.27206392859586</v>
      </c>
      <c r="J75" s="391"/>
      <c r="K75" s="391"/>
      <c r="L75" s="391"/>
      <c r="M75" s="391"/>
    </row>
    <row r="76" spans="1:13" ht="13.5" customHeight="1">
      <c r="A76" s="391"/>
      <c r="B76" s="770" t="s">
        <v>578</v>
      </c>
      <c r="C76" s="770" t="s">
        <v>579</v>
      </c>
      <c r="D76" s="771">
        <f>49288795</f>
        <v>49288795</v>
      </c>
      <c r="E76" s="772"/>
      <c r="F76" s="771">
        <f>20235928.55</f>
        <v>20235928.55</v>
      </c>
      <c r="G76" s="772"/>
      <c r="H76" s="416">
        <f t="shared" si="8"/>
        <v>5.583755062538674</v>
      </c>
      <c r="I76" s="416">
        <f t="shared" si="7"/>
        <v>41.05583946615047</v>
      </c>
      <c r="J76" s="391"/>
      <c r="K76" s="391"/>
      <c r="L76" s="391"/>
      <c r="M76" s="391"/>
    </row>
    <row r="77" spans="1:13" ht="13.5" customHeight="1">
      <c r="A77" s="391"/>
      <c r="B77" s="770" t="s">
        <v>580</v>
      </c>
      <c r="C77" s="770" t="s">
        <v>581</v>
      </c>
      <c r="D77" s="771">
        <f>10200000</f>
        <v>10200000</v>
      </c>
      <c r="E77" s="772"/>
      <c r="F77" s="771">
        <f>2000000</f>
        <v>2000000</v>
      </c>
      <c r="G77" s="772"/>
      <c r="H77" s="416">
        <f t="shared" si="8"/>
        <v>0.5518654653026707</v>
      </c>
      <c r="I77" s="416">
        <f t="shared" si="7"/>
        <v>19.607843137254903</v>
      </c>
      <c r="J77" s="391"/>
      <c r="K77" s="391"/>
      <c r="L77" s="391"/>
      <c r="M77" s="391"/>
    </row>
    <row r="78" spans="1:13" ht="45" customHeight="1">
      <c r="A78" s="391"/>
      <c r="B78" s="773" t="s">
        <v>577</v>
      </c>
      <c r="C78" s="773" t="s">
        <v>558</v>
      </c>
      <c r="D78" s="771">
        <f>0</f>
        <v>0</v>
      </c>
      <c r="E78" s="772"/>
      <c r="F78" s="771">
        <f>0</f>
        <v>0</v>
      </c>
      <c r="G78" s="772"/>
      <c r="H78" s="416">
        <f t="shared" si="8"/>
        <v>0</v>
      </c>
      <c r="I78" s="416">
        <f t="shared" si="7"/>
      </c>
      <c r="J78" s="391"/>
      <c r="K78" s="391"/>
      <c r="L78" s="391"/>
      <c r="M78" s="391"/>
    </row>
    <row r="79" spans="1:13" ht="13.5" customHeight="1">
      <c r="A79" s="391"/>
      <c r="B79" s="770" t="s">
        <v>582</v>
      </c>
      <c r="C79" s="770" t="s">
        <v>583</v>
      </c>
      <c r="D79" s="771">
        <f>58050000</f>
        <v>58050000</v>
      </c>
      <c r="E79" s="772"/>
      <c r="F79" s="771">
        <f>10200000</f>
        <v>10200000</v>
      </c>
      <c r="G79" s="772"/>
      <c r="H79" s="416">
        <f t="shared" si="8"/>
        <v>2.8145138730436208</v>
      </c>
      <c r="I79" s="416">
        <f t="shared" si="7"/>
        <v>17.57105943152455</v>
      </c>
      <c r="J79" s="391"/>
      <c r="K79" s="391"/>
      <c r="L79" s="391"/>
      <c r="M79" s="391"/>
    </row>
    <row r="80" spans="1:13" ht="45" customHeight="1">
      <c r="A80" s="391"/>
      <c r="B80" s="773" t="s">
        <v>577</v>
      </c>
      <c r="C80" s="773" t="s">
        <v>558</v>
      </c>
      <c r="D80" s="771">
        <f>0</f>
        <v>0</v>
      </c>
      <c r="E80" s="772"/>
      <c r="F80" s="771">
        <f>0</f>
        <v>0</v>
      </c>
      <c r="G80" s="772"/>
      <c r="H80" s="416">
        <f t="shared" si="8"/>
        <v>0</v>
      </c>
      <c r="I80" s="416">
        <f t="shared" si="7"/>
      </c>
      <c r="J80" s="391"/>
      <c r="K80" s="391"/>
      <c r="L80" s="391"/>
      <c r="M80" s="391"/>
    </row>
    <row r="81" spans="1:13" ht="13.5" customHeight="1">
      <c r="A81" s="391"/>
      <c r="B81" s="770" t="s">
        <v>584</v>
      </c>
      <c r="C81" s="770" t="s">
        <v>585</v>
      </c>
      <c r="D81" s="771">
        <f>6213056</f>
        <v>6213056</v>
      </c>
      <c r="E81" s="772"/>
      <c r="F81" s="771">
        <f>40856118.62</f>
        <v>40856118.62</v>
      </c>
      <c r="G81" s="772"/>
      <c r="H81" s="416">
        <f t="shared" si="8"/>
        <v>11.273540456343703</v>
      </c>
      <c r="I81" s="416">
        <f t="shared" si="7"/>
        <v>657.5849086182387</v>
      </c>
      <c r="J81" s="391"/>
      <c r="K81" s="391"/>
      <c r="L81" s="391"/>
      <c r="M81" s="391"/>
    </row>
    <row r="82" spans="1:13" ht="12.75">
      <c r="A82" s="391"/>
      <c r="B82" s="391"/>
      <c r="C82" s="391"/>
      <c r="D82" s="391"/>
      <c r="E82" s="391"/>
      <c r="F82" s="391"/>
      <c r="G82" s="391"/>
      <c r="H82" s="391"/>
      <c r="I82" s="391"/>
      <c r="J82" s="391"/>
      <c r="K82" s="391"/>
      <c r="L82" s="391"/>
      <c r="M82" s="391"/>
    </row>
    <row r="83" spans="1:13" ht="12.75">
      <c r="A83" s="391"/>
      <c r="B83" s="391"/>
      <c r="C83" s="391"/>
      <c r="D83" s="391"/>
      <c r="E83" s="391"/>
      <c r="F83" s="391"/>
      <c r="G83" s="391"/>
      <c r="H83" s="391"/>
      <c r="I83" s="391"/>
      <c r="J83" s="391"/>
      <c r="K83" s="391"/>
      <c r="L83" s="391"/>
      <c r="M83" s="391"/>
    </row>
    <row r="84" spans="1:13" ht="12.75">
      <c r="A84" s="391"/>
      <c r="B84" s="426" t="s">
        <v>586</v>
      </c>
      <c r="C84" s="426">
        <f>2</f>
        <v>2</v>
      </c>
      <c r="D84" s="426" t="s">
        <v>697</v>
      </c>
      <c r="E84" s="391"/>
      <c r="F84" s="391"/>
      <c r="G84" s="391"/>
      <c r="H84" s="391"/>
      <c r="I84" s="391"/>
      <c r="J84" s="391"/>
      <c r="K84" s="391"/>
      <c r="L84" s="391"/>
      <c r="M84" s="391"/>
    </row>
    <row r="85" spans="1:13" ht="12.75">
      <c r="A85" s="391"/>
      <c r="B85" s="426" t="s">
        <v>587</v>
      </c>
      <c r="C85" s="426">
        <f>2008</f>
        <v>2008</v>
      </c>
      <c r="D85" s="391"/>
      <c r="E85" s="391"/>
      <c r="F85" s="391"/>
      <c r="G85" s="391"/>
      <c r="H85" s="391"/>
      <c r="I85" s="391"/>
      <c r="J85" s="391"/>
      <c r="K85" s="391"/>
      <c r="L85" s="391"/>
      <c r="M85" s="391"/>
    </row>
    <row r="86" spans="1:13" ht="12.75">
      <c r="A86" s="391"/>
      <c r="B86" s="426" t="s">
        <v>588</v>
      </c>
      <c r="C86" s="427" t="str">
        <f>"Aug 18 2008 12:00AM"</f>
        <v>Aug 18 2008 12:00AM</v>
      </c>
      <c r="D86" s="391"/>
      <c r="E86" s="391"/>
      <c r="F86" s="391"/>
      <c r="G86" s="391"/>
      <c r="H86" s="391"/>
      <c r="I86" s="391"/>
      <c r="J86" s="391"/>
      <c r="K86" s="391"/>
      <c r="L86" s="391"/>
      <c r="M86" s="391"/>
    </row>
  </sheetData>
  <sheetProtection/>
  <mergeCells count="108">
    <mergeCell ref="I44:J44"/>
    <mergeCell ref="I45:J45"/>
    <mergeCell ref="I46:J46"/>
    <mergeCell ref="I47:J47"/>
    <mergeCell ref="I41:J41"/>
    <mergeCell ref="I40:J40"/>
    <mergeCell ref="I42:J42"/>
    <mergeCell ref="I43:J43"/>
    <mergeCell ref="I36:J36"/>
    <mergeCell ref="I37:J37"/>
    <mergeCell ref="I38:J38"/>
    <mergeCell ref="I39:J39"/>
    <mergeCell ref="I35:J35"/>
    <mergeCell ref="H57:I57"/>
    <mergeCell ref="B1:M1"/>
    <mergeCell ref="B54:M54"/>
    <mergeCell ref="I31:J33"/>
    <mergeCell ref="D31:D33"/>
    <mergeCell ref="E31:E33"/>
    <mergeCell ref="F32:F33"/>
    <mergeCell ref="F31:H31"/>
    <mergeCell ref="G32:H32"/>
    <mergeCell ref="D80:E80"/>
    <mergeCell ref="F80:G80"/>
    <mergeCell ref="B77:C77"/>
    <mergeCell ref="D77:E77"/>
    <mergeCell ref="F77:G77"/>
    <mergeCell ref="B81:C81"/>
    <mergeCell ref="D81:E81"/>
    <mergeCell ref="F81:G81"/>
    <mergeCell ref="B78:C78"/>
    <mergeCell ref="D78:E78"/>
    <mergeCell ref="F78:G78"/>
    <mergeCell ref="B79:C79"/>
    <mergeCell ref="D79:E79"/>
    <mergeCell ref="F79:G79"/>
    <mergeCell ref="B80:C80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59:C59"/>
    <mergeCell ref="D59:E59"/>
    <mergeCell ref="F59:G59"/>
    <mergeCell ref="B60:C60"/>
    <mergeCell ref="D60:E60"/>
    <mergeCell ref="F60:G60"/>
    <mergeCell ref="B58:C58"/>
    <mergeCell ref="D58:E58"/>
    <mergeCell ref="F58:G58"/>
    <mergeCell ref="B56:C57"/>
    <mergeCell ref="D56:E56"/>
    <mergeCell ref="F56:G56"/>
    <mergeCell ref="D57:G57"/>
    <mergeCell ref="L31:L33"/>
    <mergeCell ref="B3:B4"/>
    <mergeCell ref="C31:C33"/>
    <mergeCell ref="B31:B34"/>
    <mergeCell ref="K31:K33"/>
    <mergeCell ref="K34:L34"/>
    <mergeCell ref="F4:H4"/>
    <mergeCell ref="B29:M29"/>
    <mergeCell ref="C34:J34"/>
    <mergeCell ref="C4:E4"/>
  </mergeCells>
  <printOptions/>
  <pageMargins left="0.18" right="0.18" top="0.5511811023622047" bottom="0.3937007874015748" header="0.31496062992125984" footer="0.1968503937007874"/>
  <pageSetup horizontalDpi="600" verticalDpi="600" orientation="landscape" paperSize="9" scale="95" r:id="rId3"/>
  <headerFooter alignWithMargins="0">
    <oddFooter>&amp;L&amp;"Arial CE,Kursywa"&amp;9&amp;D&amp;R&amp;9strona &amp;P z 5</oddFooter>
  </headerFooter>
  <rowBreaks count="2" manualBreakCount="2">
    <brk id="27" max="255" man="1"/>
    <brk id="7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MIN-PBR</dc:creator>
  <cp:keywords/>
  <dc:description/>
  <cp:lastModifiedBy>Maria Kamińska</cp:lastModifiedBy>
  <cp:lastPrinted>2008-10-09T10:55:24Z</cp:lastPrinted>
  <dcterms:created xsi:type="dcterms:W3CDTF">2006-10-16T07:27:24Z</dcterms:created>
  <dcterms:modified xsi:type="dcterms:W3CDTF">2008-10-10T08:58:27Z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