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70" windowHeight="11745" tabRatio="955" firstSheet="8" activeTab="18"/>
  </bookViews>
  <sheets>
    <sheet name="zbiorcze_zob" sheetId="1" r:id="rId1"/>
    <sheet name="Zob_07" sheetId="2" r:id="rId2"/>
    <sheet name="JST_doch_wyd" sheetId="3" r:id="rId3"/>
    <sheet name="JST_zob" sheetId="4" r:id="rId4"/>
    <sheet name="Gminy_07" sheetId="5" r:id="rId5"/>
    <sheet name="Gminy_doch_wyd" sheetId="6" r:id="rId6"/>
    <sheet name="gminy_zob" sheetId="7" r:id="rId7"/>
    <sheet name="Powiaty_07" sheetId="8" r:id="rId8"/>
    <sheet name="Powiaty_doch-wyd" sheetId="9" r:id="rId9"/>
    <sheet name="Pow_zob" sheetId="10" r:id="rId10"/>
    <sheet name="MNPP_07" sheetId="11" r:id="rId11"/>
    <sheet name="MNPP_doch-wyd" sheetId="12" r:id="rId12"/>
    <sheet name="MNPP-zob" sheetId="13" r:id="rId13"/>
    <sheet name="Woj_07" sheetId="14" r:id="rId14"/>
    <sheet name="Woj_doch_wyd" sheetId="15" r:id="rId15"/>
    <sheet name="Woj_zob" sheetId="16" r:id="rId16"/>
    <sheet name="Naleznosci" sheetId="17" r:id="rId17"/>
    <sheet name="Nal_07" sheetId="18" r:id="rId18"/>
    <sheet name="Przedziały_N" sheetId="19" r:id="rId19"/>
  </sheets>
  <externalReferences>
    <externalReference r:id="rId22"/>
  </externalReferences>
  <definedNames>
    <definedName name="DATABASE">'[1]76'!#REF!</definedName>
    <definedName name="_xlnm.Print_Area" localSheetId="5">'Gminy_doch_wyd'!$B$1:$M$84</definedName>
    <definedName name="_xlnm.Print_Area" localSheetId="6">'gminy_zob'!$A$1:$M$55</definedName>
    <definedName name="_xlnm.Print_Area" localSheetId="2">'JST_doch_wyd'!$B$1:$M$85</definedName>
    <definedName name="_xlnm.Print_Area" localSheetId="3">'JST_zob'!$A$1:$M$55</definedName>
    <definedName name="_xlnm.Print_Area" localSheetId="11">'MNPP_doch-wyd'!$B$1:$M$103</definedName>
    <definedName name="_xlnm.Print_Area" localSheetId="12">'MNPP-zob'!$A$1:$M$57</definedName>
    <definedName name="_xlnm.Print_Area" localSheetId="17">'Nal_07'!$A$1:$K$25</definedName>
    <definedName name="_xlnm.Print_Area" localSheetId="16">'Naleznosci'!$A$3:$E$36</definedName>
    <definedName name="_xlnm.Print_Area" localSheetId="9">'Pow_zob'!$A$1:$M$55</definedName>
    <definedName name="_xlnm.Print_Area" localSheetId="8">'Powiaty_doch-wyd'!$B$1:$L$74</definedName>
    <definedName name="_xlnm.Print_Area" localSheetId="18">'Przedziały_N'!$A$1:$J$35</definedName>
    <definedName name="_xlnm.Print_Area" localSheetId="14">'Woj_doch_wyd'!$B$1:$M$73</definedName>
    <definedName name="_xlnm.Print_Area" localSheetId="0">'zbiorcze_zob'!$A$1:$E$49</definedName>
    <definedName name="_xlnm.Print_Area" localSheetId="1">'Zob_07'!$A$1:$K$25</definedName>
    <definedName name="_xlnm.Print_Titles" localSheetId="10">'MNPP_07'!$4:$7</definedName>
    <definedName name="_xlnm.Print_Titles" localSheetId="7">'Powiaty_07'!$4:$7</definedName>
    <definedName name="_xlnm.Print_Titles" localSheetId="0">'zbiorcze_zob'!$1:$3</definedName>
  </definedNames>
  <calcPr fullCalcOnLoad="1"/>
</workbook>
</file>

<file path=xl/comments12.xml><?xml version="1.0" encoding="utf-8"?>
<comments xmlns="http://schemas.openxmlformats.org/spreadsheetml/2006/main">
  <authors>
    <author>Michał Chmielewski</author>
  </authors>
  <commentList>
    <comment ref="I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15.xml><?xml version="1.0" encoding="utf-8"?>
<comments xmlns="http://schemas.openxmlformats.org/spreadsheetml/2006/main">
  <authors>
    <author>Michał Chmielewski</author>
  </authors>
  <commentList>
    <comment ref="I3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3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3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3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3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3.xml><?xml version="1.0" encoding="utf-8"?>
<comments xmlns="http://schemas.openxmlformats.org/spreadsheetml/2006/main">
  <authors>
    <author>Michał Chmielewski</author>
  </authors>
  <commentList>
    <comment ref="I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6.xml><?xml version="1.0" encoding="utf-8"?>
<comments xmlns="http://schemas.openxmlformats.org/spreadsheetml/2006/main">
  <authors>
    <author>Michał Chmielewski</author>
  </authors>
  <commentList>
    <comment ref="I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<sst xmlns="http://schemas.openxmlformats.org/spreadsheetml/2006/main" count="2925" uniqueCount="708">
  <si>
    <t>Wkod</t>
  </si>
  <si>
    <t>Nazwa województwa</t>
  </si>
  <si>
    <t>Ludność</t>
  </si>
  <si>
    <t>Wynik                   (5-6)</t>
  </si>
  <si>
    <t>Zobowiązania ogółem</t>
  </si>
  <si>
    <t>w tym:</t>
  </si>
  <si>
    <t>Zobowiązania ogółem na 1 mieszkańca</t>
  </si>
  <si>
    <t>Zobowiązania wymagalne na 1 mieszkańca</t>
  </si>
  <si>
    <t>7:4</t>
  </si>
  <si>
    <t>8:4</t>
  </si>
  <si>
    <t>zobowiązania wymagalne</t>
  </si>
  <si>
    <t>w złotych</t>
  </si>
  <si>
    <t>w %%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</si>
  <si>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</si>
  <si>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</si>
  <si>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</si>
  <si>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</si>
  <si>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</si>
  <si>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</si>
  <si>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</si>
  <si>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</si>
  <si>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</si>
  <si>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</si>
  <si>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</si>
  <si>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</si>
  <si>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</si>
  <si>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</si>
  <si>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</si>
  <si>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</si>
  <si>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</si>
  <si>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</si>
  <si>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</si>
  <si>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</si>
  <si>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</si>
  <si>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</si>
  <si>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</si>
  <si>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</si>
  <si>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</si>
  <si>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</si>
  <si>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</si>
  <si>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</si>
  <si>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</si>
  <si>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</si>
  <si>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</si>
  <si>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</si>
  <si>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OGÓŁEM</t>
  </si>
  <si>
    <t xml:space="preserve"> </t>
  </si>
  <si>
    <t>Pkod</t>
  </si>
  <si>
    <t>Nazwa miasta na prawach powiatu</t>
  </si>
  <si>
    <t>8:5</t>
  </si>
  <si>
    <t>9:5</t>
  </si>
  <si>
    <t>61</t>
  </si>
  <si>
    <t>Jelenia Góra</t>
  </si>
  <si>
    <t>62</t>
  </si>
  <si>
    <t>Legnica</t>
  </si>
  <si>
    <t>64</t>
  </si>
  <si>
    <t>Wrocław</t>
  </si>
  <si>
    <t>Bydgoszcz</t>
  </si>
  <si>
    <t>Grudziądz</t>
  </si>
  <si>
    <t>63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</si>
  <si>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</si>
  <si>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</si>
  <si>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</si>
  <si>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</si>
  <si>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</si>
  <si>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</si>
  <si>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</si>
  <si>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</si>
  <si>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</si>
  <si>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</si>
  <si>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</si>
  <si>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</si>
  <si>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</si>
  <si>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</si>
  <si>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</si>
  <si>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</si>
  <si>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</si>
  <si>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</si>
  <si>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65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</si>
  <si>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</si>
  <si>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</si>
  <si>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</si>
  <si>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</si>
  <si>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</si>
  <si>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</si>
  <si>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</si>
  <si>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</si>
  <si>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</si>
  <si>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</si>
  <si>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</si>
  <si>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</si>
  <si>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</si>
  <si>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</si>
  <si>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</si>
  <si>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</si>
  <si>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</si>
  <si>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</si>
  <si>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</si>
  <si>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</si>
  <si>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</si>
  <si>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</si>
  <si>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</si>
  <si>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</si>
  <si>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</si>
  <si>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</si>
  <si>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</si>
  <si>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</si>
  <si>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</si>
  <si>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</si>
  <si>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</si>
  <si>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</si>
  <si>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</si>
  <si>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</si>
  <si>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</si>
  <si>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</si>
  <si>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</si>
  <si>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</si>
  <si>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</si>
  <si>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</si>
  <si>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</si>
  <si>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</si>
  <si>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</si>
  <si>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</si>
  <si>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</si>
  <si>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</si>
  <si>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</si>
  <si>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</si>
  <si>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</si>
  <si>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</si>
  <si>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</si>
  <si>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</si>
  <si>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</si>
  <si>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</si>
  <si>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</si>
  <si>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Nazwa powiatu</t>
  </si>
  <si>
    <t>01</t>
  </si>
  <si>
    <t>bolesławiecki</t>
  </si>
  <si>
    <t>dzierżoniowski</t>
  </si>
  <si>
    <t>03</t>
  </si>
  <si>
    <t>głogowski</t>
  </si>
  <si>
    <t>górowski</t>
  </si>
  <si>
    <t>05</t>
  </si>
  <si>
    <t>jaworski</t>
  </si>
  <si>
    <t>jeleniogórski</t>
  </si>
  <si>
    <t>07</t>
  </si>
  <si>
    <t>kamiennogórski</t>
  </si>
  <si>
    <t>kłodzki</t>
  </si>
  <si>
    <t>09</t>
  </si>
  <si>
    <t>legnicki</t>
  </si>
  <si>
    <t>lubański</t>
  </si>
  <si>
    <t>11</t>
  </si>
  <si>
    <t>lubiński</t>
  </si>
  <si>
    <t>lwówecki</t>
  </si>
  <si>
    <t>13</t>
  </si>
  <si>
    <t>milicki</t>
  </si>
  <si>
    <t>oleśnicki</t>
  </si>
  <si>
    <t>15</t>
  </si>
  <si>
    <t>oławski</t>
  </si>
  <si>
    <t>polkowicki</t>
  </si>
  <si>
    <t>17</t>
  </si>
  <si>
    <t>strzeliński</t>
  </si>
  <si>
    <t>średzki</t>
  </si>
  <si>
    <t>19</t>
  </si>
  <si>
    <t>świdnicki</t>
  </si>
  <si>
    <t>trzebnicki</t>
  </si>
  <si>
    <t>21</t>
  </si>
  <si>
    <t>wałbrzyski</t>
  </si>
  <si>
    <t>wołowski</t>
  </si>
  <si>
    <t>23</t>
  </si>
  <si>
    <t>wrocławski</t>
  </si>
  <si>
    <t>ząbkowicki</t>
  </si>
  <si>
    <t>25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</si>
  <si>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</si>
  <si>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</si>
  <si>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</si>
  <si>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</si>
  <si>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</si>
  <si>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</si>
  <si>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</si>
  <si>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</si>
  <si>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</si>
  <si>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</si>
  <si>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</si>
  <si>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</si>
  <si>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</si>
  <si>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</si>
  <si>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</si>
  <si>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</si>
  <si>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</si>
  <si>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</si>
  <si>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</si>
  <si>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</si>
  <si>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</si>
  <si>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</si>
  <si>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</si>
  <si>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</si>
  <si>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</si>
  <si>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</si>
  <si>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</si>
  <si>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</si>
  <si>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</si>
  <si>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</si>
  <si>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</si>
  <si>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</si>
  <si>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</si>
  <si>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</si>
  <si>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</si>
  <si>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</si>
  <si>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</si>
  <si>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</si>
  <si>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</si>
  <si>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</si>
  <si>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</si>
  <si>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</si>
  <si>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</si>
  <si>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</si>
  <si>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</si>
  <si>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</si>
  <si>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</si>
  <si>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</si>
  <si>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</si>
  <si>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</si>
  <si>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</si>
  <si>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</si>
  <si>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</si>
  <si>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</si>
  <si>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</si>
  <si>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</si>
  <si>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</si>
  <si>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</si>
  <si>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</si>
  <si>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</si>
  <si>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</si>
  <si>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</si>
  <si>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</si>
  <si>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</si>
  <si>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</si>
  <si>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</si>
  <si>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</si>
  <si>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</si>
  <si>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</si>
  <si>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</si>
  <si>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</si>
  <si>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</si>
  <si>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</si>
  <si>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</si>
  <si>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</si>
  <si>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</si>
  <si>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</si>
  <si>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</si>
  <si>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</si>
  <si>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</si>
  <si>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</si>
  <si>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</si>
  <si>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</si>
  <si>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</si>
  <si>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</si>
  <si>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</si>
  <si>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</si>
  <si>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</si>
  <si>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</si>
  <si>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</si>
  <si>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</si>
  <si>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</si>
  <si>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</si>
  <si>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</si>
  <si>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</si>
  <si>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</si>
  <si>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</si>
  <si>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</si>
  <si>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</si>
  <si>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</si>
  <si>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</si>
  <si>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</si>
  <si>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</si>
  <si>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</si>
  <si>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</si>
  <si>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</si>
  <si>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</si>
  <si>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</si>
  <si>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</si>
  <si>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</si>
  <si>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</si>
  <si>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</si>
  <si>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</si>
  <si>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</si>
  <si>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</si>
  <si>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</si>
  <si>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</si>
  <si>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</si>
  <si>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</si>
  <si>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sochaczewski</t>
  </si>
  <si>
    <t>29</t>
  </si>
  <si>
    <t>sokołowski</t>
  </si>
  <si>
    <t>szydłowiecki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</si>
  <si>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</si>
  <si>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</si>
  <si>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</si>
  <si>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</si>
  <si>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</si>
  <si>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</si>
  <si>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</si>
  <si>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</si>
  <si>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</si>
  <si>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</si>
  <si>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</si>
  <si>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</si>
  <si>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</si>
  <si>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</si>
  <si>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</si>
  <si>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</si>
  <si>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</si>
  <si>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</si>
  <si>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</si>
  <si>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</si>
  <si>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</si>
  <si>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</si>
  <si>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</si>
  <si>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</si>
  <si>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</si>
  <si>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</si>
  <si>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</si>
  <si>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</si>
  <si>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</si>
  <si>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</si>
  <si>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</si>
  <si>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</si>
  <si>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</si>
  <si>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</si>
  <si>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</si>
  <si>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</si>
  <si>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</si>
  <si>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</si>
  <si>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</si>
  <si>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</si>
  <si>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</si>
  <si>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</si>
  <si>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</si>
  <si>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</si>
  <si>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</si>
  <si>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</si>
  <si>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</si>
  <si>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</si>
  <si>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</si>
  <si>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</si>
  <si>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</si>
  <si>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</si>
  <si>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</si>
  <si>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</si>
  <si>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</si>
  <si>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</si>
  <si>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</si>
  <si>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</si>
  <si>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</si>
  <si>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</si>
  <si>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</si>
  <si>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</si>
  <si>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</si>
  <si>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</si>
  <si>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</si>
  <si>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</si>
  <si>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</si>
  <si>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</si>
  <si>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</si>
  <si>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</si>
  <si>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</si>
  <si>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</si>
  <si>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</si>
  <si>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</si>
  <si>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</si>
  <si>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</si>
  <si>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</si>
  <si>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</si>
  <si>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</si>
  <si>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</si>
  <si>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</si>
  <si>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</si>
  <si>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</si>
  <si>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</si>
  <si>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</si>
  <si>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</si>
  <si>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</si>
  <si>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</si>
  <si>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</si>
  <si>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</si>
  <si>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</si>
  <si>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</si>
  <si>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</si>
  <si>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</si>
  <si>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</si>
  <si>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</si>
  <si>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</si>
  <si>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</si>
  <si>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</si>
  <si>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</si>
  <si>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</si>
  <si>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</si>
  <si>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</si>
  <si>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</si>
  <si>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</si>
  <si>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</si>
  <si>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</si>
  <si>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</si>
  <si>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</si>
  <si>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</si>
  <si>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</si>
  <si>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</si>
  <si>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</si>
  <si>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</si>
  <si>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</si>
  <si>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</si>
  <si>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</si>
  <si>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</si>
  <si>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</si>
  <si>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</si>
  <si>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</si>
  <si>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</si>
  <si>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</si>
  <si>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</si>
  <si>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</si>
  <si>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</si>
  <si>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</si>
  <si>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</si>
  <si>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</si>
  <si>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</si>
  <si>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</si>
  <si>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</si>
  <si>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</si>
  <si>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</si>
  <si>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</si>
  <si>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</si>
  <si>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</si>
  <si>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</si>
  <si>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</si>
  <si>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</si>
  <si>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</si>
  <si>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</si>
  <si>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</si>
  <si>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</si>
  <si>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</si>
  <si>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</si>
  <si>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</si>
  <si>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</si>
  <si>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</si>
  <si>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</si>
  <si>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</si>
  <si>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</si>
  <si>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</si>
  <si>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</si>
  <si>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</si>
  <si>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</si>
  <si>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</si>
  <si>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</si>
  <si>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</si>
  <si>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</si>
  <si>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</si>
  <si>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</si>
  <si>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</si>
  <si>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</si>
  <si>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</si>
  <si>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</si>
  <si>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WK</t>
  </si>
  <si>
    <t>m. st. Warszawa</t>
  </si>
  <si>
    <t>Wyszczególnienie</t>
  </si>
  <si>
    <t>Liczba jednostek</t>
  </si>
  <si>
    <t>ogółem</t>
  </si>
  <si>
    <t>10%-20%</t>
  </si>
  <si>
    <t>20%-30%</t>
  </si>
  <si>
    <t>30%-40%</t>
  </si>
  <si>
    <t>40%-50%</t>
  </si>
  <si>
    <t>50%-60%</t>
  </si>
  <si>
    <t>powyżej 60%</t>
  </si>
  <si>
    <t>Gminy</t>
  </si>
  <si>
    <t>Miasta na prawach powiatu</t>
  </si>
  <si>
    <t>-</t>
  </si>
  <si>
    <t>Powiaty</t>
  </si>
  <si>
    <t>Województwa samorządowe</t>
  </si>
  <si>
    <t>RAZEM</t>
  </si>
  <si>
    <t>wykazujących należności</t>
  </si>
  <si>
    <t>Lp.</t>
  </si>
  <si>
    <t>Województwa</t>
  </si>
  <si>
    <t>z tego:</t>
  </si>
  <si>
    <t>4:3</t>
  </si>
  <si>
    <t>5:3</t>
  </si>
  <si>
    <t>6:3</t>
  </si>
  <si>
    <t>7:3</t>
  </si>
  <si>
    <t>w pełnych złotych</t>
  </si>
  <si>
    <t>gminy</t>
  </si>
  <si>
    <t>powiaty</t>
  </si>
  <si>
    <t>miasta na prawach powiatu</t>
  </si>
  <si>
    <t>województwa</t>
  </si>
  <si>
    <t>%%</t>
  </si>
  <si>
    <t>POLSKA</t>
  </si>
  <si>
    <t>Należności ogółem</t>
  </si>
  <si>
    <t>Dochody wykonane</t>
  </si>
  <si>
    <t>Wydatki wykonane</t>
  </si>
  <si>
    <t>poniżej 10%</t>
  </si>
  <si>
    <t>Zobowiązania jednostek samorządu terytorialnego według województw za 2007 r.</t>
  </si>
  <si>
    <t>Źródło: Sprawozdania z wykonania budżetów jednostek samorządu terytorialnego za 2007 (Min.Fin)</t>
  </si>
  <si>
    <t>Źródło: Sprawozdania z wykonania budżetów jednostek samorządu terytorialnego za lata 2003-2007 r.(Min.Fin)</t>
  </si>
  <si>
    <t>Zestawienie dochodów, wydatków, wyniku oraz zobowiązań gmin według województw za 2007 roku</t>
  </si>
  <si>
    <t>Zestawienie dochodów, wydatków, wyniku oraz zobowiązań w poszczególnych powiatach za 2007 roku</t>
  </si>
  <si>
    <t>Zestawienie dochodów, wydatków, wyniku oraz zobowiązań w poszczególnych miastach na prawach powiatu za 2007 roku</t>
  </si>
  <si>
    <t>Źródło: Sprawozdania z wykonania budżetów miast na prawach powiatu za 2007 r. (Min.Fin.)</t>
  </si>
  <si>
    <t>Zestawienie dochodów, wydatków, wyniku oraz zobowiązań w poszczególnych województwach za 2007 roku</t>
  </si>
  <si>
    <t>Źródło: Sprawozdania z wykonania budżetów województw za 2007 r. (Min.Fin.)</t>
  </si>
  <si>
    <t>Źródło: Sprawozdania roczne z wykonania budżetów jednostek samorządu terytorialnego za 2007 r. (Min.Fin)</t>
  </si>
  <si>
    <t>Źródło: Sprawozdania roczne z wykonania budżetów gmin za 2007 r. (Min.Fin)</t>
  </si>
  <si>
    <t>Zbiorcze dane dotyczące zobowiązań poszczególnych rodzajów jednostek samorządu terytorialnego
 w latach 2005-2007</t>
  </si>
  <si>
    <t>Jednostki miary</t>
  </si>
  <si>
    <t xml:space="preserve">Jednostki   samorządu terytorialnego </t>
  </si>
  <si>
    <t>Dochody wykonane ogółem</t>
  </si>
  <si>
    <t>tys. zł</t>
  </si>
  <si>
    <t>Zobowiązania wymagalne</t>
  </si>
  <si>
    <t>Wydatki na obsługę długu</t>
  </si>
  <si>
    <t>Wydatki z tytułu udzielonych poręczeń i gwarancji</t>
  </si>
  <si>
    <t>Relacja zobowiązań ogółem do dochodów wykonanych ogółem</t>
  </si>
  <si>
    <t>Relacja zobowiązań wymagalnych  do dochodów wykonanych ogółem</t>
  </si>
  <si>
    <t>Relacja zobowiązań wymagalnych do zobowiązań ogółem</t>
  </si>
  <si>
    <t>Relacja zobowiązań ogółem       do dochodów wykonanych ogółem</t>
  </si>
  <si>
    <t>Relacja zobowiązań wymagalnych             do dochodów wykonanych ogółem</t>
  </si>
  <si>
    <t>Relacja zobowiązań wymagalnych           do zobowiązań ogółem</t>
  </si>
  <si>
    <t>Relacja zobowiązań wymagalnych do dochodów wykonanych ogółem</t>
  </si>
  <si>
    <t>Relacja zobowiązań wymagalnych  do zobowiązań ogółem</t>
  </si>
  <si>
    <t>Źródło: Sprawozdania roczne z wykonania budżetów powiatów za 2007 (Min.Fin)</t>
  </si>
  <si>
    <t xml:space="preserve">Wyszczególnienie </t>
  </si>
  <si>
    <t xml:space="preserve">Struktura </t>
  </si>
  <si>
    <t>Wskaźnik 
(3:2)</t>
  </si>
  <si>
    <t>Struktura dochodów  własnych</t>
  </si>
  <si>
    <t>DOCHODY OGÓŁEM</t>
  </si>
  <si>
    <t>Razem dochody własne 
z tego:</t>
  </si>
  <si>
    <t xml:space="preserve">podatek dochodowy od osób prawnych 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</si>
  <si>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</si>
  <si>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</si>
  <si>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</si>
  <si>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</si>
  <si>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</si>
  <si>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 xml:space="preserve">podatek od dział. gosp. osób fizycznych, opłacany w formie karty podatkowej 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</si>
  <si>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</si>
  <si>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</si>
  <si>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</si>
  <si>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</si>
  <si>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</si>
  <si>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dochody z majątku</t>
  </si>
  <si>
    <t xml:space="preserve">pozostałe dochody </t>
  </si>
  <si>
    <t>Dotacje celowe 
z tego:</t>
  </si>
  <si>
    <t>#</t>
  </si>
  <si>
    <t>na zadania z zakresu adm. rządowej</t>
  </si>
  <si>
    <t>w tym:   inwestycyjne</t>
  </si>
  <si>
    <t xml:space="preserve">na zadania własne </t>
  </si>
  <si>
    <t xml:space="preserve">na zadania realizowane na podstawie porozumień  z org. adm. rządowej </t>
  </si>
  <si>
    <t>na zadania realizowane na podstawie porozumień między jst</t>
  </si>
  <si>
    <t>otrzymane z funduszy celowych</t>
  </si>
  <si>
    <t>Subwencja ogólna 
z tego:</t>
  </si>
  <si>
    <t>część wyrównawcza</t>
  </si>
  <si>
    <t>część oświatowa</t>
  </si>
  <si>
    <t>część rekompensująca</t>
  </si>
  <si>
    <t>część równoważąca</t>
  </si>
  <si>
    <t>część regionalna</t>
  </si>
  <si>
    <t>uzupełnienie subwencji ogólnej</t>
  </si>
  <si>
    <t>Zobowiązania wg stanu na koniec 
okresu sprawozdawczego</t>
  </si>
  <si>
    <t>Wskaźnik 
(4:2)</t>
  </si>
  <si>
    <t>w tym wymagalne:</t>
  </si>
  <si>
    <t>WYDATKI OGÓŁEM 
z tego:</t>
  </si>
  <si>
    <t xml:space="preserve">wydatki majątkowe      </t>
  </si>
  <si>
    <t>w tym:   wydatki na inwestycje</t>
  </si>
  <si>
    <t>wydatki bieżące 
z tego:</t>
  </si>
  <si>
    <t xml:space="preserve">wydatki na wynagrodzenia </t>
  </si>
  <si>
    <t>w tym:   wynagrodzenia osobowe</t>
  </si>
  <si>
    <t>pochodne od wynagrodzeń</t>
  </si>
  <si>
    <t>dotacje</t>
  </si>
  <si>
    <t>wydatki na obsługę długu</t>
  </si>
  <si>
    <t>wydatki z tytułu udzielania poręczeń i gwarancji</t>
  </si>
  <si>
    <t>pozostałe wydatki</t>
  </si>
  <si>
    <t xml:space="preserve">WYNIK  </t>
  </si>
  <si>
    <t>Plan (po zmianach)</t>
  </si>
  <si>
    <t xml:space="preserve">Wykonanie </t>
  </si>
  <si>
    <t>Struktura</t>
  </si>
  <si>
    <t>Wskaźnik</t>
  </si>
  <si>
    <t xml:space="preserve">FINANSOWANIE </t>
  </si>
  <si>
    <t>Przychody ogółem 
z tego:</t>
  </si>
  <si>
    <t>kredyty i pożyczki w tym:</t>
  </si>
  <si>
    <t>na realizację programów i projektów realizowanych z udziałem środków, o których mowa w art. 5 ust.3 ustawy o finansach publicznych</t>
  </si>
  <si>
    <t>na realizację programów i projektów realizowanych z udziałem środków pochodzących z funduszy strukturalnych i Funduszu Spójności UE, w tym:</t>
  </si>
  <si>
    <t>spłata pożyczek udzielonych</t>
  </si>
  <si>
    <t xml:space="preserve">  spłaty pożyczek udzielonych</t>
  </si>
  <si>
    <t>nadwyżka z lat ubiegłych w tym:</t>
  </si>
  <si>
    <t xml:space="preserve">  nadwyżka z lat ubiegłych</t>
  </si>
  <si>
    <t>środki na pokrycie deficytu</t>
  </si>
  <si>
    <t xml:space="preserve">    w tym: środki na pokrycie deficytu</t>
  </si>
  <si>
    <t>papiery wartościowe w tym:</t>
  </si>
  <si>
    <t xml:space="preserve">  papiery wartościowe</t>
  </si>
  <si>
    <t>obligacje jednostek samorzadowych oraz związków komunalnych w tym:</t>
  </si>
  <si>
    <t xml:space="preserve">  obligacje j.s.t. oraz związków komunalnych</t>
  </si>
  <si>
    <t>prywatyzacja majątku jst</t>
  </si>
  <si>
    <t xml:space="preserve">  prywatyzacja majątku j.s.t.</t>
  </si>
  <si>
    <t>inne źródła w tym:</t>
  </si>
  <si>
    <t xml:space="preserve">  inne źródła</t>
  </si>
  <si>
    <t>Rozchody ogółem 
z tego:</t>
  </si>
  <si>
    <t xml:space="preserve"> ROZCHODY OGÓŁEM     z tego:</t>
  </si>
  <si>
    <t>spłaty kredytów i pożyczek w tym:</t>
  </si>
  <si>
    <t xml:space="preserve">  spłaty kredytów i pożyczek</t>
  </si>
  <si>
    <t>pożyczki (udzielone)</t>
  </si>
  <si>
    <t xml:space="preserve">  pożyczki</t>
  </si>
  <si>
    <t>wykup papierów wartościowych w tym:</t>
  </si>
  <si>
    <t xml:space="preserve">  wykup papierów wartościowych</t>
  </si>
  <si>
    <t>wykup obligacji samorządowych w tym:</t>
  </si>
  <si>
    <t xml:space="preserve">  wykup obligacji samorządowych</t>
  </si>
  <si>
    <t>inne cele</t>
  </si>
  <si>
    <t xml:space="preserve">  inne cele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</si>
  <si>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</si>
  <si>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</si>
  <si>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</si>
  <si>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</si>
  <si>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</si>
  <si>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</si>
  <si>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</si>
  <si>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</si>
  <si>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</si>
  <si>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</si>
  <si>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</si>
  <si>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Wydatki, które nie wygasły 
z upływem roku budżetowego) 
(art.191 ust. 1a i ust. 2 ustawy 
o finansach publicznych) 
</t>
    </r>
    <r>
      <rPr>
        <b/>
        <sz val="10"/>
        <rFont val="Arial"/>
        <family val="2"/>
      </rPr>
      <t>R9</t>
    </r>
  </si>
  <si>
    <r>
      <t xml:space="preserve">ogółem
</t>
    </r>
    <r>
      <rPr>
        <b/>
        <sz val="10"/>
        <rFont val="Arial"/>
        <family val="2"/>
      </rPr>
      <t>R11</t>
    </r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</si>
  <si>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</si>
  <si>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</si>
  <si>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t>Informacja z wykonania budżetów jednostek samorządu terytorialnego za 4 kwartały 2007 r.</t>
  </si>
  <si>
    <t>Zobowiązania według tytułów dłużnych</t>
  </si>
  <si>
    <t>Kwota zadłużenia ogółem (kol.3+11)</t>
  </si>
  <si>
    <t>z tego wobec wierzycieli:</t>
  </si>
  <si>
    <t>krajowych</t>
  </si>
  <si>
    <t>zagranicznych</t>
  </si>
  <si>
    <t>w tym wobec:</t>
  </si>
  <si>
    <t>sektora finansów publicznych (kol.5+7+8)</t>
  </si>
  <si>
    <t>z tego wobec jednostek należących do:</t>
  </si>
  <si>
    <t>banku centralnego</t>
  </si>
  <si>
    <t>banków komercyjnych</t>
  </si>
  <si>
    <t>rządów i agend rządowych</t>
  </si>
  <si>
    <t>między-narodowych instytucji finansowych</t>
  </si>
  <si>
    <t>grupy I (2)</t>
  </si>
  <si>
    <t>grupy II (3)</t>
  </si>
  <si>
    <t>grupy III (4)</t>
  </si>
  <si>
    <t>Skarbu Państwa</t>
  </si>
  <si>
    <t>Zobowiązania według tytułów dłużnych (E1+E2+E3+E4) z tego:</t>
  </si>
  <si>
    <t>papiery wartościowe 
w tym:</t>
  </si>
  <si>
    <t>długoterminowe</t>
  </si>
  <si>
    <t>kredyty i pożyczki 
w tym:</t>
  </si>
  <si>
    <t>przyjęte depozyty</t>
  </si>
  <si>
    <t>wymagalne zobowiązania 
w tym z tytułu:</t>
  </si>
  <si>
    <t xml:space="preserve">  dostaw towarów i usług</t>
  </si>
  <si>
    <t>Należności</t>
  </si>
  <si>
    <t>Kwota należności ogółem (kol.3+11)</t>
  </si>
  <si>
    <t>z tego wobec dłużników:</t>
  </si>
  <si>
    <t>w tym od:</t>
  </si>
  <si>
    <t>z tego od jednostek należących do:</t>
  </si>
  <si>
    <t>Należności (N1+N2+N3+N4) 
z tego:</t>
  </si>
  <si>
    <t>depozyty</t>
  </si>
  <si>
    <t>wymagalne należności 
w tym z tytułu:</t>
  </si>
  <si>
    <t>Poręczenia i gwarancje</t>
  </si>
  <si>
    <t>sektora finansów publicznych (kol.4+6+7)</t>
  </si>
  <si>
    <t>wartość nominalna niewymagalnych zobowiązań z tytułu udzielonych poręczeń i gwarancji na koniec okresu sprawozdawczego</t>
  </si>
  <si>
    <t>wartość nominalna niewymagalnych zobowiązań z tytułu poręczeń i gwarancji przypadających do spłaty w danym roku budżetowym</t>
  </si>
  <si>
    <t>wartość nominalna wymagalnych zobowiązań z tytułu udzielonych poręczeń i gwarancji na koniec okresu sprawozdawczego</t>
  </si>
  <si>
    <t>wartość wierzytelności z tytułu udzielonych poręczeń i gwarancji na koniec okresu sprawozdawczego</t>
  </si>
  <si>
    <t>wartość spłat dokonanych w okresie sprawozdawczym za dłużników z tytułu udzielonych poręczeń lub gwarancji (wydatki)</t>
  </si>
  <si>
    <t>kwota odzyskanych wierzytelności w okresie sprawozdawczym od dłużników z tytułu poręczeń lub gwarancji (dochody)</t>
  </si>
  <si>
    <t>wartość poręczeń i gwarancji udzielonych w okresie sprawozdawczym</t>
  </si>
  <si>
    <t>na realizację programów i projektów realizowanych z udziałem środków, o których mowa w art. 5 ust 3 ustawy o finansach publicznych</t>
  </si>
  <si>
    <t xml:space="preserve"> Informacja z wykonania budżetów gmin za 4 kwartały 2007 r.</t>
  </si>
  <si>
    <t>Zobowiązania według tytułów dłużnych (E1+E2+E3+E4)  z tego:</t>
  </si>
  <si>
    <t xml:space="preserve"> dostaw towarów i usług</t>
  </si>
  <si>
    <t>podatek dochodowy od osób prawnych - część gminna</t>
  </si>
  <si>
    <t>podatek dochodowy od osób prawnych - część powiatowa</t>
  </si>
  <si>
    <t>podatek dochodowy od osób fizycznych - część gminna</t>
  </si>
  <si>
    <t>podatek dochodowy od osób fizycznych - część powiatowa</t>
  </si>
  <si>
    <t>opłata skarbowa</t>
  </si>
  <si>
    <t>opłata eksploatacyjna</t>
  </si>
  <si>
    <t>opłata targowa</t>
  </si>
  <si>
    <t>- część gminna</t>
  </si>
  <si>
    <t>na zadania z zakresu adm. rząd.</t>
  </si>
  <si>
    <t>- część powiatowa</t>
  </si>
  <si>
    <t>- pozostałe</t>
  </si>
  <si>
    <t>Subwencja ogólna dla gmin z tego:</t>
  </si>
  <si>
    <t>Subwencja ogólna dla powiatów z tego:</t>
  </si>
  <si>
    <t>na realizację programów i projektów realizowanych z udziałem środków, o których mowa w art. 5 ust. 3 ustawy o finansach publicznych</t>
  </si>
  <si>
    <t>Informacja z wykonania budżetów powiatów za 4 kwartały 2007 r.</t>
  </si>
  <si>
    <t>Informacja z wykonania budżetów miast na prawach powiatu za 4 kwartały 2007 r.</t>
  </si>
  <si>
    <t xml:space="preserve"> Informacja z wykonania budżetów miast na prawach powiatu za 4 kwartały 2007 r.</t>
  </si>
  <si>
    <t>Źródło: . Sprawozdania roczne z wykonania budżetów miast na prawach powiatu za 2007 r. (Min.Fin.)</t>
  </si>
  <si>
    <t>Należności jednostek samorządu terytorialnego według województw w 2007 r.</t>
  </si>
  <si>
    <t>Informacja z wykonania budżetów województw za 4 kwartały 2007 r.</t>
  </si>
  <si>
    <t>Poziom należności jednostek samorządu terytorialnego w relacji do dochodów ogółem za lata 2005-2007 r.</t>
  </si>
  <si>
    <t>Źródło: Sprawozdania roczne z wykonania budżetów jednostek samorządu terytorialnego w latach 2005-2007 (Min. Fin.)</t>
  </si>
  <si>
    <t>Zbiorcze dane dotyczące należności poszczególnych rodzajów jednostek samorządu terytorialnego w latach 2005 – 2007.</t>
  </si>
  <si>
    <t>2005 r.</t>
  </si>
  <si>
    <t>2006 r.</t>
  </si>
  <si>
    <t>2007 r.</t>
  </si>
  <si>
    <t xml:space="preserve">Jednostki  samorządu terytorialnego </t>
  </si>
  <si>
    <t xml:space="preserve">Należności wymagalne </t>
  </si>
  <si>
    <t>Relacja należności ogółem                         do wykonanych  dochodów ogółem</t>
  </si>
  <si>
    <t>Relacja należności  wymagalnych                     do należności  ogółem</t>
  </si>
  <si>
    <t>Dochody wykonane  ogółem</t>
  </si>
  <si>
    <t xml:space="preserve">Należności  wymagalne </t>
  </si>
  <si>
    <t>Relacja należności ogółem                      do wykonanych  dochodów ogółem</t>
  </si>
  <si>
    <t>Relacja należności  wymagalnych                         do należności ogółem</t>
  </si>
  <si>
    <t>Relacja  należności  ogółem                      do wykonanych  dochodów ogółem</t>
  </si>
  <si>
    <t>Relacja należności wymagalnych                         do należności ogółem</t>
  </si>
  <si>
    <t xml:space="preserve">Województwa </t>
  </si>
  <si>
    <t>Źródło: Sprawozdania roczne z wykonania budżetów jednostek samorządu terytorialnego w latach 2005 - 2007 (Min. Fin.).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</si>
</sst>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#,##0.0"/>
    <numFmt numFmtId="167" formatCode="0.0%"/>
    <numFmt numFmtId="168" formatCode="#,##0.0_ ;\-#,##0.0\ 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.5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6" borderId="1" applyNumberFormat="0" applyAlignment="0" applyProtection="0"/>
    <xf numFmtId="0" fontId="25" fillId="16" borderId="3" applyNumberFormat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7" applyNumberFormat="0" applyFill="0" applyAlignment="0" applyProtection="0"/>
    <xf numFmtId="0" fontId="34" fillId="17" borderId="2" applyNumberFormat="0" applyAlignment="0" applyProtection="0"/>
    <xf numFmtId="0" fontId="35" fillId="0" borderId="7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4" borderId="8" applyNumberFormat="0" applyFont="0" applyAlignment="0" applyProtection="0"/>
    <xf numFmtId="0" fontId="41" fillId="16" borderId="1" applyNumberFormat="0" applyAlignment="0" applyProtection="0"/>
    <xf numFmtId="0" fontId="5" fillId="0" borderId="0" applyNumberFormat="0" applyFill="0" applyBorder="0" applyAlignment="0" applyProtection="0"/>
    <xf numFmtId="0" fontId="42" fillId="16" borderId="3" applyNumberForma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4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</cellStyleXfs>
  <cellXfs count="517">
    <xf numFmtId="0" fontId="0" fillId="0" borderId="0" xfId="0" applyAlignment="1">
      <alignment/>
    </xf>
    <xf numFmtId="0" fontId="7" fillId="0" borderId="0" xfId="101" applyFont="1">
      <alignment/>
      <protection/>
    </xf>
    <xf numFmtId="1" fontId="8" fillId="0" borderId="0" xfId="101" applyNumberFormat="1" applyFont="1">
      <alignment/>
      <protection/>
    </xf>
    <xf numFmtId="0" fontId="7" fillId="0" borderId="10" xfId="101" applyFont="1" applyBorder="1">
      <alignment/>
      <protection/>
    </xf>
    <xf numFmtId="0" fontId="8" fillId="0" borderId="11" xfId="101" applyFont="1" applyBorder="1" applyAlignment="1">
      <alignment horizontal="center" vertical="center" wrapText="1"/>
      <protection/>
    </xf>
    <xf numFmtId="0" fontId="10" fillId="0" borderId="12" xfId="101" applyFont="1" applyBorder="1" applyAlignment="1">
      <alignment horizontal="center" vertical="center"/>
      <protection/>
    </xf>
    <xf numFmtId="0" fontId="10" fillId="0" borderId="13" xfId="101" applyFont="1" applyBorder="1" applyAlignment="1">
      <alignment horizontal="center" vertical="center"/>
      <protection/>
    </xf>
    <xf numFmtId="0" fontId="10" fillId="0" borderId="11" xfId="101" applyFont="1" applyBorder="1" applyAlignment="1">
      <alignment horizontal="center" vertical="center"/>
      <protection/>
    </xf>
    <xf numFmtId="0" fontId="10" fillId="0" borderId="14" xfId="101" applyFont="1" applyBorder="1" applyAlignment="1">
      <alignment horizontal="center" vertical="center"/>
      <protection/>
    </xf>
    <xf numFmtId="0" fontId="10" fillId="0" borderId="15" xfId="101" applyFont="1" applyBorder="1" applyAlignment="1">
      <alignment horizontal="center" vertical="center"/>
      <protection/>
    </xf>
    <xf numFmtId="0" fontId="10" fillId="0" borderId="0" xfId="101" applyFont="1" applyAlignment="1">
      <alignment horizontal="center" vertical="center"/>
      <protection/>
    </xf>
    <xf numFmtId="0" fontId="11" fillId="0" borderId="16" xfId="92" applyFont="1" applyFill="1" applyBorder="1" applyAlignment="1">
      <alignment horizontal="left" wrapText="1"/>
      <protection/>
    </xf>
    <xf numFmtId="166" fontId="11" fillId="0" borderId="17" xfId="91" applyNumberFormat="1" applyFont="1" applyFill="1" applyBorder="1" applyAlignment="1">
      <alignment horizontal="right" wrapText="1"/>
      <protection/>
    </xf>
    <xf numFmtId="166" fontId="11" fillId="0" borderId="18" xfId="91" applyNumberFormat="1" applyFont="1" applyFill="1" applyBorder="1" applyAlignment="1">
      <alignment horizontal="right" wrapText="1"/>
      <protection/>
    </xf>
    <xf numFmtId="4" fontId="11" fillId="0" borderId="16" xfId="91" applyNumberFormat="1" applyFont="1" applyFill="1" applyBorder="1" applyAlignment="1">
      <alignment horizontal="right" wrapText="1"/>
      <protection/>
    </xf>
    <xf numFmtId="4" fontId="11" fillId="0" borderId="19" xfId="91" applyNumberFormat="1" applyFont="1" applyFill="1" applyBorder="1" applyAlignment="1">
      <alignment horizontal="right" wrapText="1"/>
      <protection/>
    </xf>
    <xf numFmtId="0" fontId="11" fillId="0" borderId="20" xfId="92" applyFont="1" applyFill="1" applyBorder="1" applyAlignment="1">
      <alignment horizontal="left" wrapText="1"/>
      <protection/>
    </xf>
    <xf numFmtId="0" fontId="11" fillId="0" borderId="21" xfId="99" applyFont="1" applyFill="1" applyBorder="1" applyAlignment="1">
      <alignment horizontal="left" wrapText="1"/>
      <protection/>
    </xf>
    <xf numFmtId="166" fontId="11" fillId="0" borderId="22" xfId="91" applyNumberFormat="1" applyFont="1" applyFill="1" applyBorder="1" applyAlignment="1">
      <alignment horizontal="right" wrapText="1"/>
      <protection/>
    </xf>
    <xf numFmtId="166" fontId="11" fillId="0" borderId="23" xfId="91" applyNumberFormat="1" applyFont="1" applyFill="1" applyBorder="1" applyAlignment="1">
      <alignment horizontal="right" wrapText="1"/>
      <protection/>
    </xf>
    <xf numFmtId="0" fontId="11" fillId="0" borderId="24" xfId="92" applyFont="1" applyFill="1" applyBorder="1" applyAlignment="1">
      <alignment horizontal="left" wrapText="1"/>
      <protection/>
    </xf>
    <xf numFmtId="166" fontId="11" fillId="0" borderId="25" xfId="91" applyNumberFormat="1" applyFont="1" applyFill="1" applyBorder="1" applyAlignment="1">
      <alignment horizontal="right" wrapText="1"/>
      <protection/>
    </xf>
    <xf numFmtId="166" fontId="11" fillId="0" borderId="26" xfId="91" applyNumberFormat="1" applyFont="1" applyFill="1" applyBorder="1" applyAlignment="1">
      <alignment horizontal="right" wrapText="1"/>
      <protection/>
    </xf>
    <xf numFmtId="4" fontId="11" fillId="0" borderId="27" xfId="91" applyNumberFormat="1" applyFont="1" applyFill="1" applyBorder="1" applyAlignment="1">
      <alignment horizontal="right" wrapText="1"/>
      <protection/>
    </xf>
    <xf numFmtId="4" fontId="11" fillId="0" borderId="28" xfId="91" applyNumberFormat="1" applyFont="1" applyFill="1" applyBorder="1" applyAlignment="1">
      <alignment horizontal="right" wrapText="1"/>
      <protection/>
    </xf>
    <xf numFmtId="166" fontId="12" fillId="0" borderId="13" xfId="91" applyNumberFormat="1" applyFont="1" applyFill="1" applyBorder="1" applyAlignment="1">
      <alignment horizontal="right" wrapText="1"/>
      <protection/>
    </xf>
    <xf numFmtId="4" fontId="12" fillId="0" borderId="12" xfId="91" applyNumberFormat="1" applyFont="1" applyFill="1" applyBorder="1" applyAlignment="1">
      <alignment horizontal="right" wrapText="1"/>
      <protection/>
    </xf>
    <xf numFmtId="4" fontId="12" fillId="0" borderId="13" xfId="91" applyNumberFormat="1" applyFont="1" applyFill="1" applyBorder="1" applyAlignment="1">
      <alignment horizontal="right" wrapText="1"/>
      <protection/>
    </xf>
    <xf numFmtId="0" fontId="9" fillId="0" borderId="0" xfId="101" applyFont="1">
      <alignment/>
      <protection/>
    </xf>
    <xf numFmtId="3" fontId="11" fillId="0" borderId="0" xfId="99" applyNumberFormat="1" applyFont="1" applyFill="1" applyBorder="1" applyAlignment="1">
      <alignment horizontal="right" wrapText="1"/>
      <protection/>
    </xf>
    <xf numFmtId="166" fontId="11" fillId="0" borderId="17" xfId="103" applyNumberFormat="1" applyFont="1" applyFill="1" applyBorder="1" applyAlignment="1">
      <alignment horizontal="right" wrapText="1"/>
      <protection/>
    </xf>
    <xf numFmtId="166" fontId="11" fillId="0" borderId="29" xfId="103" applyNumberFormat="1" applyFont="1" applyFill="1" applyBorder="1" applyAlignment="1">
      <alignment horizontal="right" wrapText="1"/>
      <protection/>
    </xf>
    <xf numFmtId="2" fontId="0" fillId="0" borderId="30" xfId="101" applyNumberFormat="1" applyFont="1" applyBorder="1">
      <alignment/>
      <protection/>
    </xf>
    <xf numFmtId="2" fontId="0" fillId="0" borderId="19" xfId="101" applyNumberFormat="1" applyFont="1" applyBorder="1">
      <alignment/>
      <protection/>
    </xf>
    <xf numFmtId="166" fontId="11" fillId="0" borderId="22" xfId="103" applyNumberFormat="1" applyFont="1" applyFill="1" applyBorder="1" applyAlignment="1">
      <alignment horizontal="right" wrapText="1"/>
      <protection/>
    </xf>
    <xf numFmtId="166" fontId="11" fillId="0" borderId="31" xfId="103" applyNumberFormat="1" applyFont="1" applyFill="1" applyBorder="1" applyAlignment="1">
      <alignment horizontal="right" wrapText="1"/>
      <protection/>
    </xf>
    <xf numFmtId="166" fontId="11" fillId="0" borderId="25" xfId="103" applyNumberFormat="1" applyFont="1" applyFill="1" applyBorder="1" applyAlignment="1">
      <alignment horizontal="right" wrapText="1"/>
      <protection/>
    </xf>
    <xf numFmtId="166" fontId="11" fillId="0" borderId="32" xfId="103" applyNumberFormat="1" applyFont="1" applyFill="1" applyBorder="1" applyAlignment="1">
      <alignment horizontal="right" wrapText="1"/>
      <protection/>
    </xf>
    <xf numFmtId="2" fontId="0" fillId="0" borderId="33" xfId="101" applyNumberFormat="1" applyFont="1" applyBorder="1">
      <alignment/>
      <protection/>
    </xf>
    <xf numFmtId="2" fontId="0" fillId="0" borderId="28" xfId="101" applyNumberFormat="1" applyFont="1" applyBorder="1">
      <alignment/>
      <protection/>
    </xf>
    <xf numFmtId="166" fontId="12" fillId="0" borderId="12" xfId="103" applyNumberFormat="1" applyFont="1" applyFill="1" applyBorder="1" applyAlignment="1">
      <alignment horizontal="right" wrapText="1"/>
      <protection/>
    </xf>
    <xf numFmtId="166" fontId="12" fillId="0" borderId="34" xfId="103" applyNumberFormat="1" applyFont="1" applyFill="1" applyBorder="1" applyAlignment="1">
      <alignment horizontal="right" wrapText="1"/>
      <protection/>
    </xf>
    <xf numFmtId="2" fontId="8" fillId="0" borderId="35" xfId="101" applyNumberFormat="1" applyFont="1" applyBorder="1">
      <alignment/>
      <protection/>
    </xf>
    <xf numFmtId="2" fontId="8" fillId="0" borderId="13" xfId="101" applyNumberFormat="1" applyFont="1" applyBorder="1">
      <alignment/>
      <protection/>
    </xf>
    <xf numFmtId="166" fontId="11" fillId="0" borderId="18" xfId="103" applyNumberFormat="1" applyFont="1" applyFill="1" applyBorder="1" applyAlignment="1">
      <alignment horizontal="right" wrapText="1"/>
      <protection/>
    </xf>
    <xf numFmtId="166" fontId="11" fillId="0" borderId="30" xfId="103" applyNumberFormat="1" applyFont="1" applyFill="1" applyBorder="1" applyAlignment="1">
      <alignment horizontal="right" wrapText="1"/>
      <protection/>
    </xf>
    <xf numFmtId="166" fontId="11" fillId="0" borderId="19" xfId="103" applyNumberFormat="1" applyFont="1" applyFill="1" applyBorder="1" applyAlignment="1">
      <alignment horizontal="right" wrapText="1"/>
      <protection/>
    </xf>
    <xf numFmtId="166" fontId="11" fillId="0" borderId="23" xfId="103" applyNumberFormat="1" applyFont="1" applyFill="1" applyBorder="1" applyAlignment="1">
      <alignment horizontal="right" wrapText="1"/>
      <protection/>
    </xf>
    <xf numFmtId="166" fontId="11" fillId="0" borderId="26" xfId="103" applyNumberFormat="1" applyFont="1" applyFill="1" applyBorder="1" applyAlignment="1">
      <alignment horizontal="right" wrapText="1"/>
      <protection/>
    </xf>
    <xf numFmtId="166" fontId="11" fillId="0" borderId="33" xfId="103" applyNumberFormat="1" applyFont="1" applyFill="1" applyBorder="1" applyAlignment="1">
      <alignment horizontal="right" wrapText="1"/>
      <protection/>
    </xf>
    <xf numFmtId="166" fontId="11" fillId="0" borderId="28" xfId="103" applyNumberFormat="1" applyFont="1" applyFill="1" applyBorder="1" applyAlignment="1">
      <alignment horizontal="right" wrapText="1"/>
      <protection/>
    </xf>
    <xf numFmtId="166" fontId="12" fillId="0" borderId="15" xfId="103" applyNumberFormat="1" applyFont="1" applyFill="1" applyBorder="1" applyAlignment="1">
      <alignment horizontal="right" wrapText="1"/>
      <protection/>
    </xf>
    <xf numFmtId="166" fontId="12" fillId="0" borderId="35" xfId="103" applyNumberFormat="1" applyFont="1" applyFill="1" applyBorder="1" applyAlignment="1">
      <alignment horizontal="right" wrapText="1"/>
      <protection/>
    </xf>
    <xf numFmtId="166" fontId="12" fillId="0" borderId="13" xfId="103" applyNumberFormat="1" applyFont="1" applyFill="1" applyBorder="1" applyAlignment="1">
      <alignment horizontal="right" wrapText="1"/>
      <protection/>
    </xf>
    <xf numFmtId="168" fontId="0" fillId="0" borderId="17" xfId="101" applyNumberFormat="1" applyFont="1" applyBorder="1">
      <alignment/>
      <protection/>
    </xf>
    <xf numFmtId="168" fontId="0" fillId="0" borderId="18" xfId="101" applyNumberFormat="1" applyFont="1" applyBorder="1">
      <alignment/>
      <protection/>
    </xf>
    <xf numFmtId="2" fontId="0" fillId="0" borderId="16" xfId="101" applyNumberFormat="1" applyFont="1" applyBorder="1">
      <alignment/>
      <protection/>
    </xf>
    <xf numFmtId="168" fontId="0" fillId="0" borderId="22" xfId="101" applyNumberFormat="1" applyFont="1" applyBorder="1">
      <alignment/>
      <protection/>
    </xf>
    <xf numFmtId="168" fontId="0" fillId="0" borderId="23" xfId="101" applyNumberFormat="1" applyFont="1" applyBorder="1">
      <alignment/>
      <protection/>
    </xf>
    <xf numFmtId="168" fontId="0" fillId="0" borderId="25" xfId="101" applyNumberFormat="1" applyFont="1" applyBorder="1">
      <alignment/>
      <protection/>
    </xf>
    <xf numFmtId="168" fontId="0" fillId="0" borderId="26" xfId="101" applyNumberFormat="1" applyFont="1" applyBorder="1">
      <alignment/>
      <protection/>
    </xf>
    <xf numFmtId="2" fontId="0" fillId="0" borderId="27" xfId="101" applyNumberFormat="1" applyFont="1" applyBorder="1">
      <alignment/>
      <protection/>
    </xf>
    <xf numFmtId="168" fontId="8" fillId="0" borderId="12" xfId="101" applyNumberFormat="1" applyFont="1" applyBorder="1">
      <alignment/>
      <protection/>
    </xf>
    <xf numFmtId="168" fontId="8" fillId="0" borderId="36" xfId="101" applyNumberFormat="1" applyFont="1" applyBorder="1">
      <alignment/>
      <protection/>
    </xf>
    <xf numFmtId="0" fontId="1" fillId="0" borderId="0" xfId="101">
      <alignment/>
      <protection/>
    </xf>
    <xf numFmtId="0" fontId="1" fillId="0" borderId="37" xfId="101" applyBorder="1">
      <alignment/>
      <protection/>
    </xf>
    <xf numFmtId="0" fontId="6" fillId="0" borderId="38" xfId="101" applyFont="1" applyBorder="1">
      <alignment/>
      <protection/>
    </xf>
    <xf numFmtId="0" fontId="6" fillId="0" borderId="39" xfId="101" applyFont="1" applyBorder="1">
      <alignment/>
      <protection/>
    </xf>
    <xf numFmtId="0" fontId="6" fillId="0" borderId="34" xfId="101" applyFont="1" applyBorder="1">
      <alignment/>
      <protection/>
    </xf>
    <xf numFmtId="0" fontId="14" fillId="0" borderId="12" xfId="101" applyFont="1" applyBorder="1" applyAlignment="1">
      <alignment horizontal="center" vertical="center"/>
      <protection/>
    </xf>
    <xf numFmtId="0" fontId="14" fillId="0" borderId="13" xfId="101" applyFont="1" applyBorder="1" applyAlignment="1">
      <alignment horizontal="center" vertical="center"/>
      <protection/>
    </xf>
    <xf numFmtId="0" fontId="14" fillId="0" borderId="36" xfId="101" applyFont="1" applyBorder="1" applyAlignment="1">
      <alignment horizontal="center" vertical="center"/>
      <protection/>
    </xf>
    <xf numFmtId="0" fontId="14" fillId="0" borderId="14" xfId="101" applyFont="1" applyBorder="1" applyAlignment="1">
      <alignment horizontal="center" vertical="center"/>
      <protection/>
    </xf>
    <xf numFmtId="0" fontId="11" fillId="0" borderId="40" xfId="88" applyFont="1" applyFill="1" applyBorder="1" applyAlignment="1">
      <alignment horizontal="left" wrapText="1"/>
      <protection/>
    </xf>
    <xf numFmtId="0" fontId="11" fillId="0" borderId="41" xfId="99" applyFont="1" applyFill="1" applyBorder="1" applyAlignment="1">
      <alignment horizontal="left" wrapText="1"/>
      <protection/>
    </xf>
    <xf numFmtId="166" fontId="1" fillId="0" borderId="42" xfId="101" applyNumberFormat="1" applyFont="1" applyBorder="1">
      <alignment/>
      <protection/>
    </xf>
    <xf numFmtId="165" fontId="1" fillId="0" borderId="42" xfId="101" applyNumberFormat="1" applyBorder="1">
      <alignment/>
      <protection/>
    </xf>
    <xf numFmtId="165" fontId="1" fillId="0" borderId="41" xfId="101" applyNumberFormat="1" applyBorder="1">
      <alignment/>
      <protection/>
    </xf>
    <xf numFmtId="0" fontId="11" fillId="0" borderId="20" xfId="88" applyFont="1" applyFill="1" applyBorder="1" applyAlignment="1">
      <alignment horizontal="left" wrapText="1"/>
      <protection/>
    </xf>
    <xf numFmtId="166" fontId="1" fillId="0" borderId="43" xfId="101" applyNumberFormat="1" applyFont="1" applyBorder="1">
      <alignment/>
      <protection/>
    </xf>
    <xf numFmtId="165" fontId="1" fillId="0" borderId="43" xfId="101" applyNumberFormat="1" applyBorder="1">
      <alignment/>
      <protection/>
    </xf>
    <xf numFmtId="165" fontId="1" fillId="0" borderId="21" xfId="101" applyNumberFormat="1" applyBorder="1">
      <alignment/>
      <protection/>
    </xf>
    <xf numFmtId="0" fontId="11" fillId="0" borderId="44" xfId="88" applyFont="1" applyFill="1" applyBorder="1" applyAlignment="1">
      <alignment horizontal="left" wrapText="1"/>
      <protection/>
    </xf>
    <xf numFmtId="0" fontId="11" fillId="0" borderId="45" xfId="99" applyFont="1" applyFill="1" applyBorder="1" applyAlignment="1">
      <alignment horizontal="left" wrapText="1"/>
      <protection/>
    </xf>
    <xf numFmtId="166" fontId="1" fillId="0" borderId="46" xfId="101" applyNumberFormat="1" applyFont="1" applyBorder="1">
      <alignment/>
      <protection/>
    </xf>
    <xf numFmtId="165" fontId="1" fillId="0" borderId="46" xfId="101" applyNumberFormat="1" applyBorder="1">
      <alignment/>
      <protection/>
    </xf>
    <xf numFmtId="165" fontId="1" fillId="0" borderId="45" xfId="101" applyNumberFormat="1" applyBorder="1">
      <alignment/>
      <protection/>
    </xf>
    <xf numFmtId="3" fontId="6" fillId="0" borderId="0" xfId="101" applyNumberFormat="1" applyFont="1">
      <alignment/>
      <protection/>
    </xf>
    <xf numFmtId="0" fontId="11" fillId="0" borderId="18" xfId="99" applyFont="1" applyFill="1" applyBorder="1" applyAlignment="1">
      <alignment horizontal="left" wrapText="1"/>
      <protection/>
    </xf>
    <xf numFmtId="0" fontId="11" fillId="0" borderId="23" xfId="99" applyFont="1" applyFill="1" applyBorder="1" applyAlignment="1">
      <alignment horizontal="left" wrapText="1"/>
      <protection/>
    </xf>
    <xf numFmtId="0" fontId="11" fillId="0" borderId="26" xfId="99" applyFont="1" applyFill="1" applyBorder="1" applyAlignment="1">
      <alignment horizontal="left" wrapText="1"/>
      <protection/>
    </xf>
    <xf numFmtId="0" fontId="10" fillId="0" borderId="47" xfId="101" applyFont="1" applyBorder="1" applyAlignment="1">
      <alignment horizontal="center" vertical="center"/>
      <protection/>
    </xf>
    <xf numFmtId="3" fontId="6" fillId="0" borderId="48" xfId="101" applyNumberFormat="1" applyFont="1" applyBorder="1" applyAlignment="1">
      <alignment horizontal="right"/>
      <protection/>
    </xf>
    <xf numFmtId="3" fontId="4" fillId="0" borderId="49" xfId="94" applyNumberFormat="1" applyFont="1" applyFill="1" applyBorder="1" applyAlignment="1">
      <alignment horizontal="right" wrapText="1"/>
      <protection/>
    </xf>
    <xf numFmtId="3" fontId="4" fillId="0" borderId="50" xfId="94" applyNumberFormat="1" applyFont="1" applyFill="1" applyBorder="1" applyAlignment="1">
      <alignment horizontal="right" wrapText="1"/>
      <protection/>
    </xf>
    <xf numFmtId="3" fontId="4" fillId="0" borderId="51" xfId="94" applyNumberFormat="1" applyFont="1" applyFill="1" applyBorder="1" applyAlignment="1">
      <alignment horizontal="right" wrapText="1"/>
      <protection/>
    </xf>
    <xf numFmtId="0" fontId="10" fillId="0" borderId="52" xfId="101" applyFont="1" applyBorder="1" applyAlignment="1">
      <alignment horizontal="center" vertical="center"/>
      <protection/>
    </xf>
    <xf numFmtId="4" fontId="4" fillId="0" borderId="53" xfId="89" applyNumberFormat="1" applyFont="1" applyFill="1" applyBorder="1" applyAlignment="1">
      <alignment horizontal="right" wrapText="1"/>
      <protection/>
    </xf>
    <xf numFmtId="4" fontId="4" fillId="0" borderId="54" xfId="89" applyNumberFormat="1" applyFont="1" applyFill="1" applyBorder="1" applyAlignment="1">
      <alignment horizontal="right" wrapText="1"/>
      <protection/>
    </xf>
    <xf numFmtId="4" fontId="4" fillId="0" borderId="55" xfId="89" applyNumberFormat="1" applyFont="1" applyFill="1" applyBorder="1" applyAlignment="1">
      <alignment horizontal="right" wrapText="1"/>
      <protection/>
    </xf>
    <xf numFmtId="4" fontId="8" fillId="0" borderId="56" xfId="101" applyNumberFormat="1" applyFont="1" applyBorder="1">
      <alignment/>
      <protection/>
    </xf>
    <xf numFmtId="4" fontId="4" fillId="0" borderId="49" xfId="89" applyNumberFormat="1" applyFont="1" applyFill="1" applyBorder="1" applyAlignment="1">
      <alignment horizontal="right" wrapText="1"/>
      <protection/>
    </xf>
    <xf numFmtId="4" fontId="4" fillId="0" borderId="50" xfId="89" applyNumberFormat="1" applyFont="1" applyFill="1" applyBorder="1" applyAlignment="1">
      <alignment horizontal="right" wrapText="1"/>
      <protection/>
    </xf>
    <xf numFmtId="4" fontId="4" fillId="0" borderId="51" xfId="89" applyNumberFormat="1" applyFont="1" applyFill="1" applyBorder="1" applyAlignment="1">
      <alignment horizontal="right" wrapText="1"/>
      <protection/>
    </xf>
    <xf numFmtId="0" fontId="10" fillId="0" borderId="57" xfId="101" applyFont="1" applyBorder="1" applyAlignment="1">
      <alignment horizontal="center" vertical="center"/>
      <protection/>
    </xf>
    <xf numFmtId="4" fontId="8" fillId="0" borderId="37" xfId="101" applyNumberFormat="1" applyFont="1" applyBorder="1">
      <alignment/>
      <protection/>
    </xf>
    <xf numFmtId="164" fontId="0" fillId="0" borderId="58" xfId="101" applyNumberFormat="1" applyFont="1" applyBorder="1">
      <alignment/>
      <protection/>
    </xf>
    <xf numFmtId="164" fontId="0" fillId="0" borderId="59" xfId="101" applyNumberFormat="1" applyFont="1" applyBorder="1">
      <alignment/>
      <protection/>
    </xf>
    <xf numFmtId="0" fontId="10" fillId="0" borderId="60" xfId="101" applyFont="1" applyBorder="1" applyAlignment="1">
      <alignment horizontal="center" vertical="center"/>
      <protection/>
    </xf>
    <xf numFmtId="4" fontId="4" fillId="0" borderId="40" xfId="89" applyNumberFormat="1" applyFont="1" applyFill="1" applyBorder="1" applyAlignment="1">
      <alignment horizontal="right" wrapText="1"/>
      <protection/>
    </xf>
    <xf numFmtId="4" fontId="4" fillId="0" borderId="41" xfId="89" applyNumberFormat="1" applyFont="1" applyFill="1" applyBorder="1" applyAlignment="1">
      <alignment horizontal="right" wrapText="1"/>
      <protection/>
    </xf>
    <xf numFmtId="4" fontId="4" fillId="0" borderId="20" xfId="89" applyNumberFormat="1" applyFont="1" applyFill="1" applyBorder="1" applyAlignment="1">
      <alignment horizontal="right" wrapText="1"/>
      <protection/>
    </xf>
    <xf numFmtId="4" fontId="4" fillId="0" borderId="21" xfId="89" applyNumberFormat="1" applyFont="1" applyFill="1" applyBorder="1" applyAlignment="1">
      <alignment horizontal="right" wrapText="1"/>
      <protection/>
    </xf>
    <xf numFmtId="4" fontId="4" fillId="0" borderId="44" xfId="89" applyNumberFormat="1" applyFont="1" applyFill="1" applyBorder="1" applyAlignment="1">
      <alignment horizontal="right" wrapText="1"/>
      <protection/>
    </xf>
    <xf numFmtId="4" fontId="4" fillId="0" borderId="45" xfId="89" applyNumberFormat="1" applyFont="1" applyFill="1" applyBorder="1" applyAlignment="1">
      <alignment horizontal="right" wrapText="1"/>
      <protection/>
    </xf>
    <xf numFmtId="166" fontId="12" fillId="0" borderId="14" xfId="91" applyNumberFormat="1" applyFont="1" applyFill="1" applyBorder="1" applyAlignment="1">
      <alignment horizontal="right" wrapText="1"/>
      <protection/>
    </xf>
    <xf numFmtId="4" fontId="8" fillId="0" borderId="61" xfId="101" applyNumberFormat="1" applyFont="1" applyBorder="1">
      <alignment/>
      <protection/>
    </xf>
    <xf numFmtId="0" fontId="10" fillId="0" borderId="62" xfId="101" applyFont="1" applyBorder="1" applyAlignment="1">
      <alignment horizontal="center" vertical="center"/>
      <protection/>
    </xf>
    <xf numFmtId="0" fontId="10" fillId="0" borderId="63" xfId="101" applyFont="1" applyBorder="1" applyAlignment="1">
      <alignment horizontal="center" vertical="center"/>
      <protection/>
    </xf>
    <xf numFmtId="3" fontId="6" fillId="0" borderId="48" xfId="101" applyNumberFormat="1" applyFont="1" applyBorder="1" applyAlignment="1">
      <alignment horizontal="center"/>
      <protection/>
    </xf>
    <xf numFmtId="0" fontId="4" fillId="0" borderId="43" xfId="98" applyFont="1" applyFill="1" applyBorder="1" applyAlignment="1">
      <alignment wrapText="1"/>
      <protection/>
    </xf>
    <xf numFmtId="0" fontId="4" fillId="0" borderId="40" xfId="98" applyFont="1" applyFill="1" applyBorder="1" applyAlignment="1">
      <alignment wrapText="1"/>
      <protection/>
    </xf>
    <xf numFmtId="0" fontId="4" fillId="0" borderId="42" xfId="98" applyFont="1" applyFill="1" applyBorder="1" applyAlignment="1">
      <alignment wrapText="1"/>
      <protection/>
    </xf>
    <xf numFmtId="0" fontId="4" fillId="0" borderId="20" xfId="98" applyFont="1" applyFill="1" applyBorder="1" applyAlignment="1">
      <alignment wrapText="1"/>
      <protection/>
    </xf>
    <xf numFmtId="0" fontId="4" fillId="0" borderId="44" xfId="98" applyFont="1" applyFill="1" applyBorder="1" applyAlignment="1">
      <alignment wrapText="1"/>
      <protection/>
    </xf>
    <xf numFmtId="0" fontId="4" fillId="0" borderId="46" xfId="98" applyFont="1" applyFill="1" applyBorder="1" applyAlignment="1">
      <alignment wrapText="1"/>
      <protection/>
    </xf>
    <xf numFmtId="0" fontId="4" fillId="0" borderId="41" xfId="98" applyFont="1" applyFill="1" applyBorder="1" applyAlignment="1">
      <alignment wrapText="1"/>
      <protection/>
    </xf>
    <xf numFmtId="0" fontId="4" fillId="0" borderId="21" xfId="98" applyFont="1" applyFill="1" applyBorder="1" applyAlignment="1">
      <alignment wrapText="1"/>
      <protection/>
    </xf>
    <xf numFmtId="0" fontId="4" fillId="0" borderId="45" xfId="98" applyFont="1" applyFill="1" applyBorder="1" applyAlignment="1">
      <alignment wrapText="1"/>
      <protection/>
    </xf>
    <xf numFmtId="3" fontId="4" fillId="0" borderId="58" xfId="98" applyNumberFormat="1" applyFont="1" applyFill="1" applyBorder="1" applyAlignment="1">
      <alignment horizontal="right" wrapText="1"/>
      <protection/>
    </xf>
    <xf numFmtId="3" fontId="4" fillId="0" borderId="59" xfId="98" applyNumberFormat="1" applyFont="1" applyFill="1" applyBorder="1" applyAlignment="1">
      <alignment horizontal="right" wrapText="1"/>
      <protection/>
    </xf>
    <xf numFmtId="3" fontId="4" fillId="0" borderId="64" xfId="98" applyNumberFormat="1" applyFont="1" applyFill="1" applyBorder="1" applyAlignment="1">
      <alignment horizontal="right" wrapText="1"/>
      <protection/>
    </xf>
    <xf numFmtId="4" fontId="4" fillId="0" borderId="43" xfId="98" applyNumberFormat="1" applyFont="1" applyFill="1" applyBorder="1" applyAlignment="1">
      <alignment horizontal="right" wrapText="1"/>
      <protection/>
    </xf>
    <xf numFmtId="4" fontId="4" fillId="0" borderId="53" xfId="98" applyNumberFormat="1" applyFont="1" applyFill="1" applyBorder="1" applyAlignment="1">
      <alignment horizontal="right" wrapText="1"/>
      <protection/>
    </xf>
    <xf numFmtId="4" fontId="4" fillId="0" borderId="54" xfId="98" applyNumberFormat="1" applyFont="1" applyFill="1" applyBorder="1" applyAlignment="1">
      <alignment horizontal="right" wrapText="1"/>
      <protection/>
    </xf>
    <xf numFmtId="4" fontId="4" fillId="0" borderId="55" xfId="98" applyNumberFormat="1" applyFont="1" applyFill="1" applyBorder="1" applyAlignment="1">
      <alignment horizontal="right" wrapText="1"/>
      <protection/>
    </xf>
    <xf numFmtId="4" fontId="4" fillId="0" borderId="49" xfId="98" applyNumberFormat="1" applyFont="1" applyFill="1" applyBorder="1" applyAlignment="1">
      <alignment horizontal="right" wrapText="1"/>
      <protection/>
    </xf>
    <xf numFmtId="4" fontId="4" fillId="0" borderId="50" xfId="98" applyNumberFormat="1" applyFont="1" applyFill="1" applyBorder="1" applyAlignment="1">
      <alignment horizontal="right" wrapText="1"/>
      <protection/>
    </xf>
    <xf numFmtId="4" fontId="4" fillId="0" borderId="51" xfId="98" applyNumberFormat="1" applyFont="1" applyFill="1" applyBorder="1" applyAlignment="1">
      <alignment horizontal="right" wrapText="1"/>
      <protection/>
    </xf>
    <xf numFmtId="0" fontId="10" fillId="0" borderId="38" xfId="101" applyFont="1" applyBorder="1" applyAlignment="1">
      <alignment horizontal="center" vertical="center"/>
      <protection/>
    </xf>
    <xf numFmtId="3" fontId="0" fillId="0" borderId="65" xfId="101" applyNumberFormat="1" applyFont="1" applyBorder="1">
      <alignment/>
      <protection/>
    </xf>
    <xf numFmtId="3" fontId="0" fillId="0" borderId="59" xfId="101" applyNumberFormat="1" applyFont="1" applyBorder="1">
      <alignment/>
      <protection/>
    </xf>
    <xf numFmtId="3" fontId="0" fillId="0" borderId="66" xfId="101" applyNumberFormat="1" applyFont="1" applyBorder="1">
      <alignment/>
      <protection/>
    </xf>
    <xf numFmtId="4" fontId="4" fillId="0" borderId="40" xfId="98" applyNumberFormat="1" applyFont="1" applyFill="1" applyBorder="1" applyAlignment="1">
      <alignment horizontal="right" wrapText="1"/>
      <protection/>
    </xf>
    <xf numFmtId="4" fontId="4" fillId="0" borderId="41" xfId="98" applyNumberFormat="1" applyFont="1" applyFill="1" applyBorder="1" applyAlignment="1">
      <alignment horizontal="right" wrapText="1"/>
      <protection/>
    </xf>
    <xf numFmtId="4" fontId="4" fillId="0" borderId="20" xfId="98" applyNumberFormat="1" applyFont="1" applyFill="1" applyBorder="1" applyAlignment="1">
      <alignment horizontal="right" wrapText="1"/>
      <protection/>
    </xf>
    <xf numFmtId="4" fontId="4" fillId="0" borderId="21" xfId="98" applyNumberFormat="1" applyFont="1" applyFill="1" applyBorder="1" applyAlignment="1">
      <alignment horizontal="right" wrapText="1"/>
      <protection/>
    </xf>
    <xf numFmtId="4" fontId="4" fillId="0" borderId="44" xfId="98" applyNumberFormat="1" applyFont="1" applyFill="1" applyBorder="1" applyAlignment="1">
      <alignment horizontal="right" wrapText="1"/>
      <protection/>
    </xf>
    <xf numFmtId="4" fontId="4" fillId="0" borderId="45" xfId="98" applyNumberFormat="1" applyFont="1" applyFill="1" applyBorder="1" applyAlignment="1">
      <alignment horizontal="right" wrapText="1"/>
      <protection/>
    </xf>
    <xf numFmtId="4" fontId="4" fillId="0" borderId="42" xfId="98" applyNumberFormat="1" applyFont="1" applyFill="1" applyBorder="1" applyAlignment="1">
      <alignment horizontal="right" wrapText="1"/>
      <protection/>
    </xf>
    <xf numFmtId="4" fontId="4" fillId="0" borderId="46" xfId="98" applyNumberFormat="1" applyFont="1" applyFill="1" applyBorder="1" applyAlignment="1">
      <alignment horizontal="right" wrapText="1"/>
      <protection/>
    </xf>
    <xf numFmtId="166" fontId="12" fillId="0" borderId="14" xfId="103" applyNumberFormat="1" applyFont="1" applyFill="1" applyBorder="1" applyAlignment="1">
      <alignment horizontal="right" wrapText="1"/>
      <protection/>
    </xf>
    <xf numFmtId="4" fontId="6" fillId="0" borderId="56" xfId="101" applyNumberFormat="1" applyFont="1" applyBorder="1">
      <alignment/>
      <protection/>
    </xf>
    <xf numFmtId="4" fontId="6" fillId="0" borderId="37" xfId="101" applyNumberFormat="1" applyFont="1" applyBorder="1">
      <alignment/>
      <protection/>
    </xf>
    <xf numFmtId="4" fontId="8" fillId="0" borderId="11" xfId="101" applyNumberFormat="1" applyFont="1" applyBorder="1">
      <alignment/>
      <protection/>
    </xf>
    <xf numFmtId="4" fontId="6" fillId="0" borderId="61" xfId="101" applyNumberFormat="1" applyFont="1" applyBorder="1">
      <alignment/>
      <protection/>
    </xf>
    <xf numFmtId="164" fontId="8" fillId="0" borderId="35" xfId="101" applyNumberFormat="1" applyFont="1" applyBorder="1">
      <alignment/>
      <protection/>
    </xf>
    <xf numFmtId="3" fontId="8" fillId="0" borderId="48" xfId="101" applyNumberFormat="1" applyFont="1" applyBorder="1" applyAlignment="1">
      <alignment horizontal="center"/>
      <protection/>
    </xf>
    <xf numFmtId="0" fontId="4" fillId="0" borderId="43" xfId="90" applyFont="1" applyFill="1" applyBorder="1" applyAlignment="1">
      <alignment wrapText="1"/>
      <protection/>
    </xf>
    <xf numFmtId="0" fontId="4" fillId="0" borderId="40" xfId="90" applyFont="1" applyFill="1" applyBorder="1" applyAlignment="1">
      <alignment wrapText="1"/>
      <protection/>
    </xf>
    <xf numFmtId="0" fontId="4" fillId="0" borderId="42" xfId="90" applyFont="1" applyFill="1" applyBorder="1" applyAlignment="1">
      <alignment wrapText="1"/>
      <protection/>
    </xf>
    <xf numFmtId="0" fontId="4" fillId="0" borderId="20" xfId="90" applyFont="1" applyFill="1" applyBorder="1" applyAlignment="1">
      <alignment wrapText="1"/>
      <protection/>
    </xf>
    <xf numFmtId="0" fontId="4" fillId="0" borderId="44" xfId="90" applyFont="1" applyFill="1" applyBorder="1" applyAlignment="1">
      <alignment wrapText="1"/>
      <protection/>
    </xf>
    <xf numFmtId="0" fontId="4" fillId="0" borderId="46" xfId="90" applyFont="1" applyFill="1" applyBorder="1" applyAlignment="1">
      <alignment wrapText="1"/>
      <protection/>
    </xf>
    <xf numFmtId="0" fontId="4" fillId="0" borderId="67" xfId="90" applyFont="1" applyFill="1" applyBorder="1" applyAlignment="1">
      <alignment wrapText="1"/>
      <protection/>
    </xf>
    <xf numFmtId="0" fontId="4" fillId="0" borderId="23" xfId="90" applyFont="1" applyFill="1" applyBorder="1" applyAlignment="1">
      <alignment wrapText="1"/>
      <protection/>
    </xf>
    <xf numFmtId="0" fontId="4" fillId="0" borderId="68" xfId="90" applyFont="1" applyFill="1" applyBorder="1" applyAlignment="1">
      <alignment wrapText="1"/>
      <protection/>
    </xf>
    <xf numFmtId="3" fontId="4" fillId="0" borderId="49" xfId="96" applyNumberFormat="1" applyFont="1" applyFill="1" applyBorder="1" applyAlignment="1">
      <alignment horizontal="right" wrapText="1"/>
      <protection/>
    </xf>
    <xf numFmtId="3" fontId="4" fillId="0" borderId="50" xfId="96" applyNumberFormat="1" applyFont="1" applyFill="1" applyBorder="1" applyAlignment="1">
      <alignment horizontal="right" wrapText="1"/>
      <protection/>
    </xf>
    <xf numFmtId="3" fontId="4" fillId="0" borderId="51" xfId="96" applyNumberFormat="1" applyFont="1" applyFill="1" applyBorder="1" applyAlignment="1">
      <alignment horizontal="right" wrapText="1"/>
      <protection/>
    </xf>
    <xf numFmtId="4" fontId="4" fillId="0" borderId="43" xfId="90" applyNumberFormat="1" applyFont="1" applyFill="1" applyBorder="1" applyAlignment="1">
      <alignment horizontal="right" wrapText="1"/>
      <protection/>
    </xf>
    <xf numFmtId="4" fontId="4" fillId="0" borderId="53" xfId="90" applyNumberFormat="1" applyFont="1" applyFill="1" applyBorder="1" applyAlignment="1">
      <alignment horizontal="right" wrapText="1"/>
      <protection/>
    </xf>
    <xf numFmtId="4" fontId="4" fillId="0" borderId="54" xfId="90" applyNumberFormat="1" applyFont="1" applyFill="1" applyBorder="1" applyAlignment="1">
      <alignment horizontal="right" wrapText="1"/>
      <protection/>
    </xf>
    <xf numFmtId="4" fontId="4" fillId="0" borderId="55" xfId="90" applyNumberFormat="1" applyFont="1" applyFill="1" applyBorder="1" applyAlignment="1">
      <alignment horizontal="right" wrapText="1"/>
      <protection/>
    </xf>
    <xf numFmtId="4" fontId="4" fillId="0" borderId="49" xfId="90" applyNumberFormat="1" applyFont="1" applyFill="1" applyBorder="1" applyAlignment="1">
      <alignment horizontal="right" wrapText="1"/>
      <protection/>
    </xf>
    <xf numFmtId="4" fontId="4" fillId="0" borderId="50" xfId="90" applyNumberFormat="1" applyFont="1" applyFill="1" applyBorder="1" applyAlignment="1">
      <alignment horizontal="right" wrapText="1"/>
      <protection/>
    </xf>
    <xf numFmtId="4" fontId="4" fillId="0" borderId="51" xfId="90" applyNumberFormat="1" applyFont="1" applyFill="1" applyBorder="1" applyAlignment="1">
      <alignment horizontal="right" wrapText="1"/>
      <protection/>
    </xf>
    <xf numFmtId="164" fontId="0" fillId="0" borderId="65" xfId="101" applyNumberFormat="1" applyFont="1" applyBorder="1">
      <alignment/>
      <protection/>
    </xf>
    <xf numFmtId="4" fontId="4" fillId="0" borderId="40" xfId="90" applyNumberFormat="1" applyFont="1" applyFill="1" applyBorder="1" applyAlignment="1">
      <alignment horizontal="right" wrapText="1"/>
      <protection/>
    </xf>
    <xf numFmtId="4" fontId="4" fillId="0" borderId="41" xfId="90" applyNumberFormat="1" applyFont="1" applyFill="1" applyBorder="1" applyAlignment="1">
      <alignment horizontal="right" wrapText="1"/>
      <protection/>
    </xf>
    <xf numFmtId="4" fontId="4" fillId="0" borderId="20" xfId="90" applyNumberFormat="1" applyFont="1" applyFill="1" applyBorder="1" applyAlignment="1">
      <alignment horizontal="right" wrapText="1"/>
      <protection/>
    </xf>
    <xf numFmtId="4" fontId="4" fillId="0" borderId="21" xfId="90" applyNumberFormat="1" applyFont="1" applyFill="1" applyBorder="1" applyAlignment="1">
      <alignment horizontal="right" wrapText="1"/>
      <protection/>
    </xf>
    <xf numFmtId="4" fontId="4" fillId="0" borderId="44" xfId="90" applyNumberFormat="1" applyFont="1" applyFill="1" applyBorder="1" applyAlignment="1">
      <alignment horizontal="right" wrapText="1"/>
      <protection/>
    </xf>
    <xf numFmtId="4" fontId="4" fillId="0" borderId="45" xfId="90" applyNumberFormat="1" applyFont="1" applyFill="1" applyBorder="1" applyAlignment="1">
      <alignment horizontal="right" wrapText="1"/>
      <protection/>
    </xf>
    <xf numFmtId="4" fontId="6" fillId="0" borderId="56" xfId="101" applyNumberFormat="1" applyFont="1" applyBorder="1">
      <alignment/>
      <protection/>
    </xf>
    <xf numFmtId="4" fontId="6" fillId="0" borderId="37" xfId="101" applyNumberFormat="1" applyFont="1" applyBorder="1">
      <alignment/>
      <protection/>
    </xf>
    <xf numFmtId="4" fontId="6" fillId="0" borderId="11" xfId="101" applyNumberFormat="1" applyFont="1" applyBorder="1">
      <alignment/>
      <protection/>
    </xf>
    <xf numFmtId="4" fontId="6" fillId="0" borderId="61" xfId="101" applyNumberFormat="1" applyFont="1" applyBorder="1">
      <alignment/>
      <protection/>
    </xf>
    <xf numFmtId="3" fontId="8" fillId="0" borderId="48" xfId="101" applyNumberFormat="1" applyFont="1" applyBorder="1" applyAlignment="1">
      <alignment horizontal="center"/>
      <protection/>
    </xf>
    <xf numFmtId="0" fontId="10" fillId="0" borderId="10" xfId="101" applyFont="1" applyBorder="1" applyAlignment="1">
      <alignment horizontal="center" vertical="center"/>
      <protection/>
    </xf>
    <xf numFmtId="4" fontId="8" fillId="0" borderId="69" xfId="101" applyNumberFormat="1" applyFont="1" applyBorder="1" applyAlignment="1">
      <alignment horizontal="center"/>
      <protection/>
    </xf>
    <xf numFmtId="4" fontId="8" fillId="0" borderId="37" xfId="101" applyNumberFormat="1" applyFont="1" applyBorder="1" applyAlignment="1">
      <alignment horizontal="center"/>
      <protection/>
    </xf>
    <xf numFmtId="4" fontId="8" fillId="0" borderId="11" xfId="101" applyNumberFormat="1" applyFont="1" applyBorder="1" applyAlignment="1">
      <alignment horizontal="center"/>
      <protection/>
    </xf>
    <xf numFmtId="166" fontId="6" fillId="0" borderId="57" xfId="101" applyNumberFormat="1" applyFont="1" applyBorder="1">
      <alignment/>
      <protection/>
    </xf>
    <xf numFmtId="166" fontId="6" fillId="0" borderId="60" xfId="101" applyNumberFormat="1" applyFont="1" applyBorder="1">
      <alignment/>
      <protection/>
    </xf>
    <xf numFmtId="165" fontId="6" fillId="0" borderId="60" xfId="101" applyNumberFormat="1" applyFont="1" applyBorder="1">
      <alignment/>
      <protection/>
    </xf>
    <xf numFmtId="165" fontId="6" fillId="0" borderId="52" xfId="101" applyNumberFormat="1" applyFont="1" applyBorder="1">
      <alignment/>
      <protection/>
    </xf>
    <xf numFmtId="4" fontId="4" fillId="0" borderId="42" xfId="90" applyNumberFormat="1" applyFont="1" applyFill="1" applyBorder="1" applyAlignment="1">
      <alignment horizontal="right" wrapText="1"/>
      <protection/>
    </xf>
    <xf numFmtId="4" fontId="4" fillId="0" borderId="46" xfId="90" applyNumberFormat="1" applyFont="1" applyFill="1" applyBorder="1" applyAlignment="1">
      <alignment horizontal="right" wrapText="1"/>
      <protection/>
    </xf>
    <xf numFmtId="4" fontId="4" fillId="0" borderId="49" xfId="100" applyNumberFormat="1" applyFont="1" applyFill="1" applyBorder="1" applyAlignment="1">
      <alignment horizontal="right" wrapText="1"/>
      <protection/>
    </xf>
    <xf numFmtId="4" fontId="4" fillId="0" borderId="50" xfId="100" applyNumberFormat="1" applyFont="1" applyFill="1" applyBorder="1" applyAlignment="1">
      <alignment horizontal="right" wrapText="1"/>
      <protection/>
    </xf>
    <xf numFmtId="4" fontId="4" fillId="0" borderId="51" xfId="100" applyNumberFormat="1" applyFont="1" applyFill="1" applyBorder="1" applyAlignment="1">
      <alignment horizontal="right" wrapText="1"/>
      <protection/>
    </xf>
    <xf numFmtId="166" fontId="1" fillId="0" borderId="40" xfId="101" applyNumberFormat="1" applyFont="1" applyBorder="1">
      <alignment/>
      <protection/>
    </xf>
    <xf numFmtId="166" fontId="1" fillId="0" borderId="20" xfId="101" applyNumberFormat="1" applyFont="1" applyBorder="1">
      <alignment/>
      <protection/>
    </xf>
    <xf numFmtId="166" fontId="1" fillId="0" borderId="44" xfId="101" applyNumberFormat="1" applyFont="1" applyBorder="1">
      <alignment/>
      <protection/>
    </xf>
    <xf numFmtId="4" fontId="6" fillId="0" borderId="62" xfId="101" applyNumberFormat="1" applyFont="1" applyBorder="1">
      <alignment/>
      <protection/>
    </xf>
    <xf numFmtId="4" fontId="6" fillId="0" borderId="60" xfId="101" applyNumberFormat="1" applyFont="1" applyBorder="1">
      <alignment/>
      <protection/>
    </xf>
    <xf numFmtId="4" fontId="6" fillId="0" borderId="52" xfId="101" applyNumberFormat="1" applyFont="1" applyBorder="1">
      <alignment/>
      <protection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70" xfId="0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54" xfId="0" applyFont="1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0" fontId="6" fillId="0" borderId="54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0" fontId="6" fillId="0" borderId="55" xfId="0" applyFont="1" applyBorder="1" applyAlignment="1">
      <alignment wrapText="1"/>
    </xf>
    <xf numFmtId="3" fontId="0" fillId="0" borderId="44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28" xfId="0" applyBorder="1" applyAlignment="1">
      <alignment horizontal="center" wrapText="1"/>
    </xf>
    <xf numFmtId="3" fontId="0" fillId="0" borderId="65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0" fillId="0" borderId="4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43" xfId="0" applyNumberFormat="1" applyBorder="1" applyAlignment="1">
      <alignment horizontal="right" vertical="center"/>
    </xf>
    <xf numFmtId="4" fontId="4" fillId="0" borderId="43" xfId="97" applyNumberFormat="1" applyFont="1" applyFill="1" applyBorder="1" applyAlignment="1">
      <alignment horizontal="right" wrapText="1"/>
      <protection/>
    </xf>
    <xf numFmtId="4" fontId="11" fillId="0" borderId="20" xfId="88" applyNumberFormat="1" applyFont="1" applyFill="1" applyBorder="1" applyAlignment="1">
      <alignment horizontal="right" wrapText="1"/>
      <protection/>
    </xf>
    <xf numFmtId="4" fontId="11" fillId="0" borderId="44" xfId="88" applyNumberFormat="1" applyFont="1" applyFill="1" applyBorder="1" applyAlignment="1">
      <alignment horizontal="right" wrapText="1"/>
      <protection/>
    </xf>
    <xf numFmtId="4" fontId="11" fillId="0" borderId="40" xfId="88" applyNumberFormat="1" applyFont="1" applyFill="1" applyBorder="1" applyAlignment="1">
      <alignment horizontal="right" wrapText="1"/>
      <protection/>
    </xf>
    <xf numFmtId="0" fontId="7" fillId="0" borderId="10" xfId="101" applyFont="1" applyBorder="1">
      <alignment/>
      <protection/>
    </xf>
    <xf numFmtId="0" fontId="8" fillId="0" borderId="11" xfId="101" applyFont="1" applyBorder="1" applyAlignment="1">
      <alignment horizontal="center" vertical="center" wrapText="1"/>
      <protection/>
    </xf>
    <xf numFmtId="0" fontId="4" fillId="0" borderId="16" xfId="99" applyFont="1" applyFill="1" applyBorder="1" applyAlignment="1">
      <alignment horizontal="left" wrapText="1"/>
      <protection/>
    </xf>
    <xf numFmtId="0" fontId="4" fillId="0" borderId="18" xfId="99" applyFont="1" applyFill="1" applyBorder="1" applyAlignment="1">
      <alignment horizontal="left" wrapText="1"/>
      <protection/>
    </xf>
    <xf numFmtId="3" fontId="4" fillId="0" borderId="49" xfId="100" applyNumberFormat="1" applyFont="1" applyFill="1" applyBorder="1" applyAlignment="1">
      <alignment horizontal="right" wrapText="1"/>
      <protection/>
    </xf>
    <xf numFmtId="4" fontId="4" fillId="0" borderId="53" xfId="100" applyNumberFormat="1" applyFont="1" applyFill="1" applyBorder="1" applyAlignment="1">
      <alignment horizontal="right" wrapText="1"/>
      <protection/>
    </xf>
    <xf numFmtId="4" fontId="4" fillId="0" borderId="74" xfId="100" applyNumberFormat="1" applyFont="1" applyFill="1" applyBorder="1" applyAlignment="1">
      <alignment horizontal="right" wrapText="1"/>
      <protection/>
    </xf>
    <xf numFmtId="4" fontId="4" fillId="0" borderId="40" xfId="100" applyNumberFormat="1" applyFont="1" applyFill="1" applyBorder="1" applyAlignment="1">
      <alignment horizontal="right" wrapText="1"/>
      <protection/>
    </xf>
    <xf numFmtId="4" fontId="4" fillId="0" borderId="41" xfId="100" applyNumberFormat="1" applyFont="1" applyFill="1" applyBorder="1" applyAlignment="1">
      <alignment horizontal="right" wrapText="1"/>
      <protection/>
    </xf>
    <xf numFmtId="0" fontId="4" fillId="0" borderId="20" xfId="99" applyFont="1" applyFill="1" applyBorder="1" applyAlignment="1">
      <alignment horizontal="left" wrapText="1"/>
      <protection/>
    </xf>
    <xf numFmtId="0" fontId="4" fillId="0" borderId="23" xfId="99" applyFont="1" applyFill="1" applyBorder="1" applyAlignment="1">
      <alignment horizontal="left" wrapText="1"/>
      <protection/>
    </xf>
    <xf numFmtId="3" fontId="4" fillId="0" borderId="50" xfId="100" applyNumberFormat="1" applyFont="1" applyFill="1" applyBorder="1" applyAlignment="1">
      <alignment horizontal="right" wrapText="1"/>
      <protection/>
    </xf>
    <xf numFmtId="4" fontId="4" fillId="0" borderId="54" xfId="100" applyNumberFormat="1" applyFont="1" applyFill="1" applyBorder="1" applyAlignment="1">
      <alignment horizontal="right" wrapText="1"/>
      <protection/>
    </xf>
    <xf numFmtId="4" fontId="4" fillId="0" borderId="31" xfId="100" applyNumberFormat="1" applyFont="1" applyFill="1" applyBorder="1" applyAlignment="1">
      <alignment horizontal="right" wrapText="1"/>
      <protection/>
    </xf>
    <xf numFmtId="4" fontId="4" fillId="0" borderId="20" xfId="100" applyNumberFormat="1" applyFont="1" applyFill="1" applyBorder="1" applyAlignment="1">
      <alignment horizontal="right" wrapText="1"/>
      <protection/>
    </xf>
    <xf numFmtId="4" fontId="4" fillId="0" borderId="21" xfId="100" applyNumberFormat="1" applyFont="1" applyFill="1" applyBorder="1" applyAlignment="1">
      <alignment horizontal="right" wrapText="1"/>
      <protection/>
    </xf>
    <xf numFmtId="0" fontId="4" fillId="0" borderId="24" xfId="99" applyFont="1" applyFill="1" applyBorder="1" applyAlignment="1">
      <alignment horizontal="left" wrapText="1"/>
      <protection/>
    </xf>
    <xf numFmtId="0" fontId="4" fillId="0" borderId="26" xfId="99" applyFont="1" applyFill="1" applyBorder="1" applyAlignment="1">
      <alignment horizontal="left" wrapText="1"/>
      <protection/>
    </xf>
    <xf numFmtId="3" fontId="4" fillId="0" borderId="51" xfId="100" applyNumberFormat="1" applyFont="1" applyFill="1" applyBorder="1" applyAlignment="1">
      <alignment horizontal="right" wrapText="1"/>
      <protection/>
    </xf>
    <xf numFmtId="4" fontId="4" fillId="0" borderId="55" xfId="100" applyNumberFormat="1" applyFont="1" applyFill="1" applyBorder="1" applyAlignment="1">
      <alignment horizontal="right" wrapText="1"/>
      <protection/>
    </xf>
    <xf numFmtId="4" fontId="4" fillId="0" borderId="75" xfId="100" applyNumberFormat="1" applyFont="1" applyFill="1" applyBorder="1" applyAlignment="1">
      <alignment horizontal="right" wrapText="1"/>
      <protection/>
    </xf>
    <xf numFmtId="4" fontId="4" fillId="0" borderId="44" xfId="100" applyNumberFormat="1" applyFont="1" applyFill="1" applyBorder="1" applyAlignment="1">
      <alignment horizontal="right" wrapText="1"/>
      <protection/>
    </xf>
    <xf numFmtId="4" fontId="4" fillId="0" borderId="45" xfId="100" applyNumberFormat="1" applyFont="1" applyFill="1" applyBorder="1" applyAlignment="1">
      <alignment horizontal="right" wrapText="1"/>
      <protection/>
    </xf>
    <xf numFmtId="2" fontId="8" fillId="0" borderId="12" xfId="101" applyNumberFormat="1" applyFont="1" applyBorder="1">
      <alignment/>
      <protection/>
    </xf>
    <xf numFmtId="2" fontId="8" fillId="0" borderId="13" xfId="101" applyNumberFormat="1" applyFont="1" applyBorder="1">
      <alignment/>
      <protection/>
    </xf>
    <xf numFmtId="0" fontId="16" fillId="0" borderId="0" xfId="101" applyFont="1">
      <alignment/>
      <protection/>
    </xf>
    <xf numFmtId="0" fontId="9" fillId="0" borderId="0" xfId="101" applyFont="1" applyAlignment="1">
      <alignment/>
      <protection/>
    </xf>
    <xf numFmtId="3" fontId="0" fillId="0" borderId="24" xfId="0" applyNumberFormat="1" applyBorder="1" applyAlignment="1">
      <alignment/>
    </xf>
    <xf numFmtId="3" fontId="0" fillId="0" borderId="76" xfId="0" applyNumberFormat="1" applyBorder="1" applyAlignment="1">
      <alignment horizontal="center" vertical="center"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 horizontal="center" vertical="center"/>
    </xf>
    <xf numFmtId="0" fontId="7" fillId="0" borderId="0" xfId="101" applyFont="1">
      <alignment/>
      <protection/>
    </xf>
    <xf numFmtId="0" fontId="0" fillId="0" borderId="0" xfId="93">
      <alignment/>
      <protection/>
    </xf>
    <xf numFmtId="0" fontId="8" fillId="0" borderId="43" xfId="93" applyFont="1" applyBorder="1" applyAlignment="1">
      <alignment horizontal="center" vertical="center" wrapText="1"/>
      <protection/>
    </xf>
    <xf numFmtId="0" fontId="9" fillId="0" borderId="43" xfId="93" applyFont="1" applyBorder="1" applyAlignment="1">
      <alignment horizontal="center" wrapText="1"/>
      <protection/>
    </xf>
    <xf numFmtId="0" fontId="9" fillId="0" borderId="43" xfId="93" applyFont="1" applyBorder="1" applyAlignment="1">
      <alignment horizontal="center" vertical="center" wrapText="1"/>
      <protection/>
    </xf>
    <xf numFmtId="0" fontId="50" fillId="0" borderId="43" xfId="93" applyFont="1" applyBorder="1" applyAlignment="1">
      <alignment horizontal="left" vertical="center" wrapText="1"/>
      <protection/>
    </xf>
    <xf numFmtId="0" fontId="7" fillId="0" borderId="43" xfId="93" applyFont="1" applyBorder="1" applyAlignment="1">
      <alignment horizontal="justify" vertical="center" wrapText="1"/>
      <protection/>
    </xf>
    <xf numFmtId="0" fontId="0" fillId="0" borderId="0" xfId="93" applyAlignment="1">
      <alignment vertical="center"/>
      <protection/>
    </xf>
    <xf numFmtId="0" fontId="7" fillId="0" borderId="43" xfId="93" applyFont="1" applyBorder="1" applyAlignment="1">
      <alignment horizontal="left" vertical="center" wrapText="1"/>
      <protection/>
    </xf>
    <xf numFmtId="0" fontId="0" fillId="0" borderId="43" xfId="93" applyFont="1" applyBorder="1" applyAlignment="1">
      <alignment horizontal="center" vertical="center" wrapText="1"/>
      <protection/>
    </xf>
    <xf numFmtId="3" fontId="0" fillId="0" borderId="43" xfId="93" applyNumberFormat="1" applyFont="1" applyBorder="1" applyAlignment="1">
      <alignment horizontal="right" vertical="center" wrapText="1"/>
      <protection/>
    </xf>
    <xf numFmtId="3" fontId="0" fillId="0" borderId="43" xfId="69" applyNumberFormat="1" applyFont="1" applyBorder="1" applyAlignment="1">
      <alignment vertical="center"/>
    </xf>
    <xf numFmtId="165" fontId="0" fillId="0" borderId="43" xfId="93" applyNumberFormat="1" applyFont="1" applyBorder="1" applyAlignment="1">
      <alignment horizontal="right" vertical="center" wrapText="1"/>
      <protection/>
    </xf>
    <xf numFmtId="0" fontId="0" fillId="0" borderId="43" xfId="93" applyFont="1" applyBorder="1" applyAlignment="1">
      <alignment horizontal="right" vertical="center" wrapText="1"/>
      <protection/>
    </xf>
    <xf numFmtId="0" fontId="0" fillId="0" borderId="43" xfId="93" applyFont="1" applyBorder="1" applyAlignment="1">
      <alignment horizontal="justify" vertical="center" wrapText="1"/>
      <protection/>
    </xf>
    <xf numFmtId="0" fontId="51" fillId="0" borderId="0" xfId="104" applyFont="1">
      <alignment/>
      <protection/>
    </xf>
    <xf numFmtId="0" fontId="0" fillId="0" borderId="0" xfId="93" applyBorder="1" applyAlignment="1">
      <alignment vertical="center"/>
      <protection/>
    </xf>
    <xf numFmtId="166" fontId="16" fillId="0" borderId="43" xfId="69" applyNumberFormat="1" applyFont="1" applyFill="1" applyBorder="1" applyAlignment="1">
      <alignment horizontal="right" vertical="center"/>
    </xf>
    <xf numFmtId="0" fontId="0" fillId="0" borderId="0" xfId="102" applyFill="1" applyAlignment="1">
      <alignment horizontal="center" vertical="center" wrapText="1"/>
      <protection/>
    </xf>
    <xf numFmtId="0" fontId="58" fillId="0" borderId="0" xfId="102" applyFont="1" applyFill="1" applyAlignment="1">
      <alignment horizontal="center" vertical="center" wrapText="1"/>
      <protection/>
    </xf>
    <xf numFmtId="0" fontId="10" fillId="0" borderId="22" xfId="102" applyFont="1" applyFill="1" applyBorder="1" applyAlignment="1">
      <alignment horizontal="center" vertical="center" wrapText="1"/>
      <protection/>
    </xf>
    <xf numFmtId="0" fontId="10" fillId="0" borderId="43" xfId="102" applyFont="1" applyFill="1" applyBorder="1" applyAlignment="1">
      <alignment horizontal="center" vertical="center" wrapText="1"/>
      <protection/>
    </xf>
    <xf numFmtId="0" fontId="16" fillId="0" borderId="43" xfId="102" applyFont="1" applyFill="1" applyBorder="1" applyAlignment="1">
      <alignment horizontal="left" vertical="center" wrapText="1"/>
      <protection/>
    </xf>
    <xf numFmtId="4" fontId="60" fillId="0" borderId="43" xfId="102" applyNumberFormat="1" applyFont="1" applyFill="1" applyBorder="1" applyAlignment="1">
      <alignment horizontal="right" vertical="center" wrapText="1"/>
      <protection/>
    </xf>
    <xf numFmtId="0" fontId="10" fillId="0" borderId="43" xfId="102" applyFont="1" applyFill="1" applyBorder="1" applyAlignment="1">
      <alignment horizontal="left" vertical="center" wrapText="1" indent="1"/>
      <protection/>
    </xf>
    <xf numFmtId="0" fontId="10" fillId="0" borderId="43" xfId="102" applyFont="1" applyFill="1" applyBorder="1" applyAlignment="1">
      <alignment horizontal="left" vertical="center" wrapText="1" indent="2"/>
      <protection/>
    </xf>
    <xf numFmtId="4" fontId="60" fillId="0" borderId="43" xfId="102" applyNumberFormat="1" applyFont="1" applyFill="1" applyBorder="1" applyAlignment="1">
      <alignment vertical="center" wrapText="1"/>
      <protection/>
    </xf>
    <xf numFmtId="0" fontId="53" fillId="0" borderId="43" xfId="95" applyFont="1" applyFill="1" applyBorder="1" applyAlignment="1">
      <alignment horizontal="center" vertical="center" wrapText="1"/>
      <protection/>
    </xf>
    <xf numFmtId="4" fontId="16" fillId="0" borderId="43" xfId="95" applyNumberFormat="1" applyFont="1" applyFill="1" applyBorder="1" applyAlignment="1">
      <alignment horizontal="right" vertical="center"/>
      <protection/>
    </xf>
    <xf numFmtId="4" fontId="54" fillId="0" borderId="43" xfId="95" applyNumberFormat="1" applyFont="1" applyFill="1" applyBorder="1" applyAlignment="1">
      <alignment horizontal="right" vertical="center" wrapText="1"/>
      <protection/>
    </xf>
    <xf numFmtId="0" fontId="53" fillId="0" borderId="43" xfId="95" applyFont="1" applyFill="1" applyBorder="1" applyAlignment="1">
      <alignment horizontal="center" vertical="center"/>
      <protection/>
    </xf>
    <xf numFmtId="0" fontId="10" fillId="0" borderId="43" xfId="95" applyFont="1" applyFill="1" applyBorder="1" applyAlignment="1">
      <alignment horizontal="center" vertical="center" wrapText="1"/>
      <protection/>
    </xf>
    <xf numFmtId="0" fontId="10" fillId="0" borderId="43" xfId="95" applyFont="1" applyFill="1" applyBorder="1" applyAlignment="1">
      <alignment horizontal="center" vertical="center"/>
      <protection/>
    </xf>
    <xf numFmtId="0" fontId="0" fillId="0" borderId="0" xfId="95" applyFont="1" applyFill="1">
      <alignment/>
      <protection/>
    </xf>
    <xf numFmtId="0" fontId="52" fillId="0" borderId="43" xfId="95" applyFont="1" applyFill="1" applyBorder="1" applyAlignment="1">
      <alignment horizontal="left" vertical="center" wrapText="1"/>
      <protection/>
    </xf>
    <xf numFmtId="4" fontId="54" fillId="0" borderId="43" xfId="95" applyNumberFormat="1" applyFont="1" applyFill="1" applyBorder="1" applyAlignment="1">
      <alignment horizontal="right" vertical="center"/>
      <protection/>
    </xf>
    <xf numFmtId="166" fontId="54" fillId="0" borderId="43" xfId="95" applyNumberFormat="1" applyFont="1" applyFill="1" applyBorder="1" applyAlignment="1">
      <alignment horizontal="right" vertical="center"/>
      <protection/>
    </xf>
    <xf numFmtId="0" fontId="53" fillId="0" borderId="43" xfId="95" applyFont="1" applyFill="1" applyBorder="1" applyAlignment="1">
      <alignment horizontal="left" vertical="center" wrapText="1" indent="1"/>
      <protection/>
    </xf>
    <xf numFmtId="4" fontId="53" fillId="0" borderId="43" xfId="95" applyNumberFormat="1" applyFont="1" applyFill="1" applyBorder="1" applyAlignment="1">
      <alignment horizontal="right" vertical="center"/>
      <protection/>
    </xf>
    <xf numFmtId="166" fontId="53" fillId="0" borderId="43" xfId="95" applyNumberFormat="1" applyFont="1" applyFill="1" applyBorder="1" applyAlignment="1">
      <alignment horizontal="right" vertical="center"/>
      <protection/>
    </xf>
    <xf numFmtId="4" fontId="10" fillId="0" borderId="43" xfId="95" applyNumberFormat="1" applyFont="1" applyFill="1" applyBorder="1" applyAlignment="1">
      <alignment horizontal="right" vertical="center"/>
      <protection/>
    </xf>
    <xf numFmtId="166" fontId="10" fillId="0" borderId="0" xfId="95" applyNumberFormat="1" applyFont="1" applyFill="1" applyAlignment="1">
      <alignment horizontal="right" vertical="center"/>
      <protection/>
    </xf>
    <xf numFmtId="0" fontId="53" fillId="0" borderId="43" xfId="95" applyFont="1" applyFill="1" applyBorder="1" applyAlignment="1">
      <alignment horizontal="left" vertical="center" wrapText="1" indent="2"/>
      <protection/>
    </xf>
    <xf numFmtId="0" fontId="10" fillId="0" borderId="43" xfId="95" applyFont="1" applyFill="1" applyBorder="1" applyAlignment="1">
      <alignment horizontal="left" vertical="center" wrapText="1" indent="1"/>
      <protection/>
    </xf>
    <xf numFmtId="166" fontId="10" fillId="0" borderId="43" xfId="95" applyNumberFormat="1" applyFont="1" applyFill="1" applyBorder="1" applyAlignment="1">
      <alignment horizontal="right" vertical="center"/>
      <protection/>
    </xf>
    <xf numFmtId="0" fontId="10" fillId="0" borderId="0" xfId="95" applyFont="1" applyFill="1" applyAlignment="1">
      <alignment horizontal="left" vertical="center"/>
      <protection/>
    </xf>
    <xf numFmtId="0" fontId="53" fillId="0" borderId="0" xfId="95" applyFont="1" applyFill="1" applyBorder="1" applyAlignment="1">
      <alignment horizontal="left" vertical="center" wrapText="1" indent="1"/>
      <protection/>
    </xf>
    <xf numFmtId="3" fontId="55" fillId="0" borderId="0" xfId="95" applyNumberFormat="1" applyFont="1" applyFill="1" applyBorder="1" applyAlignment="1">
      <alignment horizontal="left" vertical="center"/>
      <protection/>
    </xf>
    <xf numFmtId="3" fontId="55" fillId="0" borderId="0" xfId="95" applyNumberFormat="1" applyFont="1" applyFill="1" applyBorder="1" applyAlignment="1">
      <alignment horizontal="right" vertical="center"/>
      <protection/>
    </xf>
    <xf numFmtId="0" fontId="7" fillId="0" borderId="0" xfId="95" applyFont="1" applyFill="1" applyBorder="1" applyAlignment="1">
      <alignment vertical="center"/>
      <protection/>
    </xf>
    <xf numFmtId="166" fontId="55" fillId="0" borderId="0" xfId="95" applyNumberFormat="1" applyFont="1" applyFill="1" applyBorder="1" applyAlignment="1">
      <alignment horizontal="center" vertical="center"/>
      <protection/>
    </xf>
    <xf numFmtId="166" fontId="0" fillId="0" borderId="0" xfId="95" applyNumberFormat="1" applyFont="1" applyFill="1">
      <alignment/>
      <protection/>
    </xf>
    <xf numFmtId="0" fontId="0" fillId="0" borderId="0" xfId="95" applyFont="1" applyFill="1" applyBorder="1">
      <alignment/>
      <protection/>
    </xf>
    <xf numFmtId="0" fontId="4" fillId="0" borderId="0" xfId="95" applyFont="1" applyFill="1" applyBorder="1" applyAlignment="1">
      <alignment horizontal="center" vertical="center" wrapText="1"/>
      <protection/>
    </xf>
    <xf numFmtId="0" fontId="56" fillId="0" borderId="0" xfId="95" applyFont="1" applyFill="1" applyBorder="1" applyAlignment="1">
      <alignment horizontal="center" vertical="center" wrapText="1"/>
      <protection/>
    </xf>
    <xf numFmtId="166" fontId="16" fillId="0" borderId="43" xfId="95" applyNumberFormat="1" applyFont="1" applyFill="1" applyBorder="1" applyAlignment="1">
      <alignment horizontal="right" vertical="center"/>
      <protection/>
    </xf>
    <xf numFmtId="4" fontId="53" fillId="0" borderId="43" xfId="95" applyNumberFormat="1" applyFont="1" applyFill="1" applyBorder="1" applyAlignment="1">
      <alignment horizontal="right" vertical="center" wrapText="1"/>
      <protection/>
    </xf>
    <xf numFmtId="4" fontId="1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horizontal="center" vertical="center"/>
      <protection/>
    </xf>
    <xf numFmtId="0" fontId="52" fillId="0" borderId="0" xfId="95" applyFont="1" applyFill="1" applyBorder="1" applyAlignment="1">
      <alignment horizontal="left" vertical="center"/>
      <protection/>
    </xf>
    <xf numFmtId="3" fontId="52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horizontal="center" vertical="top" wrapText="1"/>
      <protection/>
    </xf>
    <xf numFmtId="0" fontId="10" fillId="0" borderId="43" xfId="95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center" vertical="center"/>
      <protection/>
    </xf>
    <xf numFmtId="0" fontId="6" fillId="0" borderId="43" xfId="101" applyFont="1" applyBorder="1">
      <alignment/>
      <protection/>
    </xf>
    <xf numFmtId="0" fontId="14" fillId="0" borderId="43" xfId="101" applyFont="1" applyBorder="1" applyAlignment="1">
      <alignment horizontal="center" vertical="center"/>
      <protection/>
    </xf>
    <xf numFmtId="4" fontId="6" fillId="0" borderId="43" xfId="101" applyNumberFormat="1" applyFont="1" applyBorder="1">
      <alignment/>
      <protection/>
    </xf>
    <xf numFmtId="166" fontId="6" fillId="0" borderId="43" xfId="101" applyNumberFormat="1" applyFont="1" applyBorder="1">
      <alignment/>
      <protection/>
    </xf>
    <xf numFmtId="165" fontId="6" fillId="0" borderId="43" xfId="101" applyNumberFormat="1" applyFont="1" applyBorder="1">
      <alignment/>
      <protection/>
    </xf>
    <xf numFmtId="0" fontId="11" fillId="0" borderId="43" xfId="88" applyFont="1" applyFill="1" applyBorder="1" applyAlignment="1">
      <alignment horizontal="left" wrapText="1"/>
      <protection/>
    </xf>
    <xf numFmtId="0" fontId="11" fillId="0" borderId="43" xfId="99" applyFont="1" applyFill="1" applyBorder="1" applyAlignment="1">
      <alignment horizontal="left" wrapText="1"/>
      <protection/>
    </xf>
    <xf numFmtId="4" fontId="11" fillId="0" borderId="43" xfId="88" applyNumberFormat="1" applyFont="1" applyFill="1" applyBorder="1" applyAlignment="1">
      <alignment horizontal="right" wrapText="1"/>
      <protection/>
    </xf>
    <xf numFmtId="4" fontId="4" fillId="0" borderId="43" xfId="100" applyNumberFormat="1" applyFont="1" applyFill="1" applyBorder="1" applyAlignment="1">
      <alignment horizontal="right" wrapText="1"/>
      <protection/>
    </xf>
    <xf numFmtId="0" fontId="1" fillId="0" borderId="0" xfId="101" applyBorder="1">
      <alignment/>
      <protection/>
    </xf>
    <xf numFmtId="0" fontId="7" fillId="0" borderId="0" xfId="101" applyFont="1" applyBorder="1">
      <alignment/>
      <protection/>
    </xf>
    <xf numFmtId="0" fontId="8" fillId="0" borderId="0" xfId="95" applyFont="1" applyFill="1" applyAlignment="1">
      <alignment horizontal="left" vertical="center"/>
      <protection/>
    </xf>
    <xf numFmtId="3" fontId="55" fillId="0" borderId="0" xfId="95" applyFont="1" applyFill="1" applyBorder="1" applyAlignment="1">
      <alignment horizontal="left" vertical="center"/>
      <protection/>
    </xf>
    <xf numFmtId="3" fontId="55" fillId="0" borderId="0" xfId="95" applyFont="1" applyFill="1" applyBorder="1" applyAlignment="1">
      <alignment horizontal="right" vertical="center"/>
      <protection/>
    </xf>
    <xf numFmtId="0" fontId="55" fillId="0" borderId="0" xfId="95" applyFont="1" applyFill="1" applyBorder="1">
      <alignment horizontal="left" vertical="center"/>
      <protection/>
    </xf>
    <xf numFmtId="0" fontId="7" fillId="0" borderId="0" xfId="95" applyFont="1" applyFill="1" applyAlignment="1">
      <alignment vertical="center"/>
      <protection/>
    </xf>
    <xf numFmtId="0" fontId="52" fillId="0" borderId="0" xfId="95" applyFont="1" applyFill="1" applyBorder="1">
      <alignment horizontal="left" vertical="center"/>
      <protection/>
    </xf>
    <xf numFmtId="3" fontId="52" fillId="0" borderId="0" xfId="95" applyFont="1" applyFill="1" applyBorder="1">
      <alignment horizontal="right" vertical="center"/>
      <protection/>
    </xf>
    <xf numFmtId="0" fontId="52" fillId="0" borderId="43" xfId="95" applyFont="1" applyFill="1" applyBorder="1" applyAlignment="1" quotePrefix="1">
      <alignment horizontal="left" vertical="center" wrapText="1" indent="1"/>
      <protection/>
    </xf>
    <xf numFmtId="0" fontId="7" fillId="0" borderId="0" xfId="95" applyFont="1">
      <alignment/>
      <protection/>
    </xf>
    <xf numFmtId="0" fontId="8" fillId="0" borderId="11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69" xfId="0" applyFont="1" applyBorder="1" applyAlignment="1">
      <alignment horizontal="center" wrapText="1"/>
    </xf>
    <xf numFmtId="0" fontId="16" fillId="0" borderId="69" xfId="0" applyFont="1" applyBorder="1" applyAlignment="1">
      <alignment horizontal="center" vertical="top" wrapText="1"/>
    </xf>
    <xf numFmtId="0" fontId="50" fillId="0" borderId="4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left" vertical="center" wrapText="1"/>
    </xf>
    <xf numFmtId="3" fontId="0" fillId="0" borderId="69" xfId="0" applyNumberFormat="1" applyFont="1" applyBorder="1" applyAlignment="1">
      <alignment horizontal="right" vertical="center" wrapText="1"/>
    </xf>
    <xf numFmtId="165" fontId="0" fillId="0" borderId="69" xfId="0" applyNumberFormat="1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" fillId="0" borderId="12" xfId="101" applyFont="1" applyBorder="1" applyAlignment="1">
      <alignment horizontal="center"/>
      <protection/>
    </xf>
    <xf numFmtId="0" fontId="6" fillId="0" borderId="13" xfId="101" applyFont="1" applyBorder="1" applyAlignment="1">
      <alignment horizontal="center"/>
      <protection/>
    </xf>
    <xf numFmtId="0" fontId="13" fillId="0" borderId="0" xfId="101" applyFont="1" applyAlignment="1">
      <alignment horizontal="center"/>
      <protection/>
    </xf>
    <xf numFmtId="0" fontId="6" fillId="0" borderId="49" xfId="101" applyFont="1" applyBorder="1" applyAlignment="1">
      <alignment horizontal="center" vertical="center" wrapText="1"/>
      <protection/>
    </xf>
    <xf numFmtId="0" fontId="6" fillId="0" borderId="50" xfId="101" applyFont="1" applyBorder="1" applyAlignment="1">
      <alignment horizontal="center" vertical="center" wrapText="1"/>
      <protection/>
    </xf>
    <xf numFmtId="0" fontId="6" fillId="0" borderId="51" xfId="101" applyFont="1" applyBorder="1" applyAlignment="1">
      <alignment horizontal="center" vertical="center" wrapText="1"/>
      <protection/>
    </xf>
    <xf numFmtId="0" fontId="6" fillId="0" borderId="53" xfId="101" applyFont="1" applyBorder="1" applyAlignment="1">
      <alignment horizontal="center" vertical="center" wrapText="1"/>
      <protection/>
    </xf>
    <xf numFmtId="0" fontId="6" fillId="0" borderId="54" xfId="101" applyFont="1" applyBorder="1" applyAlignment="1">
      <alignment horizontal="center" vertical="center" wrapText="1"/>
      <protection/>
    </xf>
    <xf numFmtId="0" fontId="6" fillId="0" borderId="55" xfId="101" applyFont="1" applyBorder="1" applyAlignment="1">
      <alignment horizontal="center" vertical="center" wrapText="1"/>
      <protection/>
    </xf>
    <xf numFmtId="0" fontId="6" fillId="0" borderId="38" xfId="101" applyFont="1" applyBorder="1" applyAlignment="1" quotePrefix="1">
      <alignment horizontal="center" vertical="center"/>
      <protection/>
    </xf>
    <xf numFmtId="0" fontId="6" fillId="0" borderId="37" xfId="101" applyFont="1" applyBorder="1" applyAlignment="1">
      <alignment horizontal="center"/>
      <protection/>
    </xf>
    <xf numFmtId="0" fontId="6" fillId="0" borderId="69" xfId="101" applyFont="1" applyBorder="1" applyAlignment="1">
      <alignment horizontal="center"/>
      <protection/>
    </xf>
    <xf numFmtId="0" fontId="8" fillId="0" borderId="65" xfId="93" applyFont="1" applyBorder="1" applyAlignment="1">
      <alignment horizontal="center" vertical="center" wrapText="1"/>
      <protection/>
    </xf>
    <xf numFmtId="0" fontId="6" fillId="0" borderId="47" xfId="101" applyFont="1" applyBorder="1" applyAlignment="1">
      <alignment horizontal="center" vertical="center" wrapText="1"/>
      <protection/>
    </xf>
    <xf numFmtId="0" fontId="6" fillId="0" borderId="48" xfId="101" applyFont="1" applyBorder="1" applyAlignment="1">
      <alignment horizontal="center" vertical="center" wrapText="1"/>
      <protection/>
    </xf>
    <xf numFmtId="0" fontId="6" fillId="0" borderId="37" xfId="101" applyFont="1" applyBorder="1" applyAlignment="1" quotePrefix="1">
      <alignment horizontal="center" vertical="center"/>
      <protection/>
    </xf>
    <xf numFmtId="0" fontId="6" fillId="0" borderId="47" xfId="101" applyFont="1" applyBorder="1" applyAlignment="1" quotePrefix="1">
      <alignment horizontal="center" vertical="center"/>
      <protection/>
    </xf>
    <xf numFmtId="0" fontId="6" fillId="0" borderId="48" xfId="101" applyFont="1" applyBorder="1" applyAlignment="1" quotePrefix="1">
      <alignment horizontal="center" vertical="center"/>
      <protection/>
    </xf>
    <xf numFmtId="0" fontId="6" fillId="0" borderId="10" xfId="101" applyFont="1" applyBorder="1" applyAlignment="1" quotePrefix="1">
      <alignment horizontal="center" vertical="center"/>
      <protection/>
    </xf>
    <xf numFmtId="0" fontId="6" fillId="0" borderId="69" xfId="101" applyFont="1" applyBorder="1" applyAlignment="1" quotePrefix="1">
      <alignment horizontal="center" vertical="center"/>
      <protection/>
    </xf>
    <xf numFmtId="0" fontId="6" fillId="0" borderId="0" xfId="101" applyFont="1" applyBorder="1" applyAlignment="1">
      <alignment horizontal="center" vertical="center" wrapText="1"/>
      <protection/>
    </xf>
    <xf numFmtId="0" fontId="10" fillId="0" borderId="43" xfId="95" applyFont="1" applyFill="1" applyBorder="1" applyAlignment="1">
      <alignment horizontal="left" vertical="center" wrapText="1" indent="1"/>
      <protection/>
    </xf>
    <xf numFmtId="4" fontId="10" fillId="0" borderId="43" xfId="95" applyNumberFormat="1" applyFont="1" applyFill="1" applyBorder="1" applyAlignment="1">
      <alignment horizontal="right" vertical="center"/>
      <protection/>
    </xf>
    <xf numFmtId="0" fontId="10" fillId="0" borderId="43" xfId="95" applyFont="1" applyFill="1" applyBorder="1" applyAlignment="1">
      <alignment horizontal="left" vertical="center" wrapText="1"/>
      <protection/>
    </xf>
    <xf numFmtId="4" fontId="10" fillId="0" borderId="23" xfId="95" applyNumberFormat="1" applyFont="1" applyFill="1" applyBorder="1" applyAlignment="1">
      <alignment horizontal="right" vertical="center"/>
      <protection/>
    </xf>
    <xf numFmtId="4" fontId="10" fillId="0" borderId="22" xfId="95" applyNumberFormat="1" applyFont="1" applyFill="1" applyBorder="1" applyAlignment="1">
      <alignment horizontal="right" vertical="center"/>
      <protection/>
    </xf>
    <xf numFmtId="0" fontId="8" fillId="0" borderId="43" xfId="95" applyFont="1" applyFill="1" applyBorder="1" applyAlignment="1">
      <alignment horizontal="left" vertical="center" wrapText="1"/>
      <protection/>
    </xf>
    <xf numFmtId="0" fontId="8" fillId="0" borderId="43" xfId="95" applyFont="1" applyFill="1" applyBorder="1" applyAlignment="1">
      <alignment horizontal="left" vertical="center"/>
      <protection/>
    </xf>
    <xf numFmtId="4" fontId="16" fillId="0" borderId="23" xfId="95" applyNumberFormat="1" applyFont="1" applyFill="1" applyBorder="1" applyAlignment="1">
      <alignment horizontal="right" vertical="center"/>
      <protection/>
    </xf>
    <xf numFmtId="4" fontId="16" fillId="0" borderId="22" xfId="95" applyNumberFormat="1" applyFont="1" applyFill="1" applyBorder="1" applyAlignment="1">
      <alignment horizontal="right" vertical="center"/>
      <protection/>
    </xf>
    <xf numFmtId="0" fontId="10" fillId="0" borderId="43" xfId="95" applyNumberFormat="1" applyFont="1" applyFill="1" applyBorder="1" applyAlignment="1">
      <alignment horizontal="center" vertical="center" wrapText="1"/>
      <protection/>
    </xf>
    <xf numFmtId="0" fontId="10" fillId="0" borderId="43" xfId="95" applyFont="1" applyFill="1" applyBorder="1" applyAlignment="1">
      <alignment horizontal="center" vertical="center" wrapText="1"/>
      <protection/>
    </xf>
    <xf numFmtId="0" fontId="10" fillId="0" borderId="43" xfId="95" applyFont="1" applyFill="1" applyBorder="1" applyAlignment="1">
      <alignment horizontal="center"/>
      <protection/>
    </xf>
    <xf numFmtId="4" fontId="16" fillId="0" borderId="43" xfId="95" applyNumberFormat="1" applyFont="1" applyFill="1" applyBorder="1" applyAlignment="1">
      <alignment horizontal="right" vertical="center"/>
      <protection/>
    </xf>
    <xf numFmtId="4" fontId="53" fillId="0" borderId="43" xfId="95" applyNumberFormat="1" applyFont="1" applyFill="1" applyBorder="1" applyAlignment="1">
      <alignment horizontal="right" vertical="center"/>
      <protection/>
    </xf>
    <xf numFmtId="4" fontId="54" fillId="0" borderId="43" xfId="95" applyNumberFormat="1" applyFont="1" applyFill="1" applyBorder="1" applyAlignment="1">
      <alignment horizontal="right" vertical="center" wrapText="1"/>
      <protection/>
    </xf>
    <xf numFmtId="0" fontId="8" fillId="0" borderId="43" xfId="95" applyFont="1" applyFill="1" applyBorder="1" applyAlignment="1">
      <alignment horizontal="center" vertical="center" wrapText="1"/>
      <protection/>
    </xf>
    <xf numFmtId="0" fontId="10" fillId="0" borderId="43" xfId="95" applyFont="1" applyFill="1" applyBorder="1" applyAlignment="1">
      <alignment horizontal="center" vertical="center"/>
      <protection/>
    </xf>
    <xf numFmtId="0" fontId="10" fillId="0" borderId="43" xfId="95" applyFont="1" applyFill="1" applyBorder="1" applyAlignment="1">
      <alignment horizontal="center" vertical="top" wrapText="1"/>
      <protection/>
    </xf>
    <xf numFmtId="4" fontId="53" fillId="0" borderId="43" xfId="95" applyNumberFormat="1" applyFont="1" applyFill="1" applyBorder="1" applyAlignment="1">
      <alignment horizontal="right" vertical="center" wrapText="1"/>
      <protection/>
    </xf>
    <xf numFmtId="0" fontId="53" fillId="0" borderId="43" xfId="95" applyFont="1" applyFill="1" applyBorder="1" applyAlignment="1">
      <alignment horizontal="center" vertical="center"/>
      <protection/>
    </xf>
    <xf numFmtId="0" fontId="53" fillId="0" borderId="43" xfId="95" applyFont="1" applyFill="1" applyBorder="1" applyAlignment="1">
      <alignment horizontal="center" vertical="center" wrapText="1"/>
      <protection/>
    </xf>
    <xf numFmtId="0" fontId="10" fillId="0" borderId="23" xfId="95" applyFont="1" applyFill="1" applyBorder="1" applyAlignment="1">
      <alignment horizontal="center" vertical="center" wrapText="1"/>
      <protection/>
    </xf>
    <xf numFmtId="0" fontId="10" fillId="0" borderId="22" xfId="95" applyFont="1" applyFill="1" applyBorder="1" applyAlignment="1">
      <alignment horizontal="center" vertical="center"/>
      <protection/>
    </xf>
    <xf numFmtId="0" fontId="52" fillId="0" borderId="43" xfId="95" applyFont="1" applyFill="1" applyBorder="1" applyAlignment="1">
      <alignment horizontal="center" vertical="center"/>
      <protection/>
    </xf>
    <xf numFmtId="0" fontId="15" fillId="0" borderId="0" xfId="95" applyFont="1" applyFill="1" applyAlignment="1">
      <alignment horizontal="center" vertical="center"/>
      <protection/>
    </xf>
    <xf numFmtId="0" fontId="10" fillId="0" borderId="76" xfId="102" applyFont="1" applyFill="1" applyBorder="1" applyAlignment="1">
      <alignment horizontal="center" vertical="center" wrapText="1"/>
      <protection/>
    </xf>
    <xf numFmtId="0" fontId="10" fillId="0" borderId="72" xfId="102" applyFont="1" applyFill="1" applyBorder="1" applyAlignment="1">
      <alignment horizontal="center" vertical="center" wrapText="1"/>
      <protection/>
    </xf>
    <xf numFmtId="0" fontId="10" fillId="0" borderId="78" xfId="102" applyFont="1" applyFill="1" applyBorder="1" applyAlignment="1">
      <alignment horizontal="center" vertical="center" wrapText="1"/>
      <protection/>
    </xf>
    <xf numFmtId="0" fontId="10" fillId="0" borderId="43" xfId="102" applyFont="1" applyFill="1" applyBorder="1" applyAlignment="1">
      <alignment horizontal="left" vertical="center" wrapText="1"/>
      <protection/>
    </xf>
    <xf numFmtId="0" fontId="10" fillId="0" borderId="43" xfId="102" applyFont="1" applyFill="1" applyBorder="1" applyAlignment="1">
      <alignment horizontal="center" vertical="center" wrapText="1"/>
      <protection/>
    </xf>
    <xf numFmtId="0" fontId="59" fillId="0" borderId="0" xfId="102" applyFont="1" applyFill="1" applyAlignment="1">
      <alignment horizontal="left" vertical="center" wrapText="1"/>
      <protection/>
    </xf>
    <xf numFmtId="0" fontId="16" fillId="0" borderId="26" xfId="102" applyFont="1" applyFill="1" applyBorder="1" applyAlignment="1">
      <alignment horizontal="center" vertical="center" wrapText="1"/>
      <protection/>
    </xf>
    <xf numFmtId="0" fontId="16" fillId="0" borderId="66" xfId="102" applyFont="1" applyFill="1" applyBorder="1" applyAlignment="1">
      <alignment horizontal="center" vertical="center" wrapText="1"/>
      <protection/>
    </xf>
    <xf numFmtId="0" fontId="16" fillId="0" borderId="25" xfId="102" applyFont="1" applyFill="1" applyBorder="1" applyAlignment="1">
      <alignment horizontal="center" vertical="center" wrapText="1"/>
      <protection/>
    </xf>
    <xf numFmtId="0" fontId="16" fillId="0" borderId="79" xfId="102" applyFont="1" applyFill="1" applyBorder="1" applyAlignment="1">
      <alignment horizontal="center" vertical="center" wrapText="1"/>
      <protection/>
    </xf>
    <xf numFmtId="0" fontId="16" fillId="0" borderId="0" xfId="102" applyFont="1" applyFill="1" applyBorder="1" applyAlignment="1">
      <alignment horizontal="center" vertical="center" wrapText="1"/>
      <protection/>
    </xf>
    <xf numFmtId="0" fontId="16" fillId="0" borderId="71" xfId="102" applyFont="1" applyFill="1" applyBorder="1" applyAlignment="1">
      <alignment horizontal="center" vertical="center" wrapText="1"/>
      <protection/>
    </xf>
    <xf numFmtId="0" fontId="16" fillId="0" borderId="18" xfId="102" applyFont="1" applyFill="1" applyBorder="1" applyAlignment="1">
      <alignment horizontal="center" vertical="center" wrapText="1"/>
      <protection/>
    </xf>
    <xf numFmtId="0" fontId="16" fillId="0" borderId="65" xfId="102" applyFont="1" applyFill="1" applyBorder="1" applyAlignment="1">
      <alignment horizontal="center" vertical="center" wrapText="1"/>
      <protection/>
    </xf>
    <xf numFmtId="0" fontId="16" fillId="0" borderId="17" xfId="102" applyFont="1" applyFill="1" applyBorder="1" applyAlignment="1">
      <alignment horizontal="center" vertical="center" wrapText="1"/>
      <protection/>
    </xf>
    <xf numFmtId="0" fontId="10" fillId="0" borderId="26" xfId="102" applyFont="1" applyFill="1" applyBorder="1" applyAlignment="1">
      <alignment horizontal="center" vertical="center" wrapText="1"/>
      <protection/>
    </xf>
    <xf numFmtId="0" fontId="10" fillId="0" borderId="79" xfId="102" applyFont="1" applyFill="1" applyBorder="1" applyAlignment="1">
      <alignment horizontal="center" vertical="center" wrapText="1"/>
      <protection/>
    </xf>
    <xf numFmtId="0" fontId="10" fillId="0" borderId="18" xfId="102" applyFont="1" applyFill="1" applyBorder="1" applyAlignment="1">
      <alignment horizontal="center" vertical="center" wrapText="1"/>
      <protection/>
    </xf>
    <xf numFmtId="0" fontId="10" fillId="0" borderId="59" xfId="102" applyFont="1" applyFill="1" applyBorder="1" applyAlignment="1">
      <alignment horizontal="center" vertical="center" wrapText="1"/>
      <protection/>
    </xf>
    <xf numFmtId="0" fontId="10" fillId="0" borderId="22" xfId="102" applyFont="1" applyFill="1" applyBorder="1" applyAlignment="1">
      <alignment horizontal="center" vertical="center" wrapText="1"/>
      <protection/>
    </xf>
    <xf numFmtId="0" fontId="16" fillId="0" borderId="76" xfId="102" applyFont="1" applyFill="1" applyBorder="1" applyAlignment="1">
      <alignment horizontal="center" vertical="center" wrapText="1"/>
      <protection/>
    </xf>
    <xf numFmtId="0" fontId="16" fillId="0" borderId="72" xfId="102" applyFont="1" applyFill="1" applyBorder="1" applyAlignment="1">
      <alignment horizontal="center" vertical="center" wrapText="1"/>
      <protection/>
    </xf>
    <xf numFmtId="0" fontId="16" fillId="0" borderId="78" xfId="102" applyFont="1" applyFill="1" applyBorder="1" applyAlignment="1">
      <alignment horizontal="center" vertical="center" wrapText="1"/>
      <protection/>
    </xf>
    <xf numFmtId="0" fontId="10" fillId="0" borderId="23" xfId="102" applyFont="1" applyFill="1" applyBorder="1" applyAlignment="1">
      <alignment horizontal="center" vertical="center" wrapText="1"/>
      <protection/>
    </xf>
    <xf numFmtId="0" fontId="9" fillId="0" borderId="80" xfId="101" applyFont="1" applyBorder="1" applyAlignment="1">
      <alignment horizontal="center" vertical="center" wrapText="1"/>
      <protection/>
    </xf>
    <xf numFmtId="0" fontId="9" fillId="0" borderId="81" xfId="101" applyFont="1" applyBorder="1" applyAlignment="1">
      <alignment horizontal="center" vertical="center" wrapText="1"/>
      <protection/>
    </xf>
    <xf numFmtId="20" fontId="9" fillId="0" borderId="47" xfId="101" applyNumberFormat="1" applyFont="1" applyBorder="1" applyAlignment="1" quotePrefix="1">
      <alignment horizontal="center" vertical="center" wrapText="1"/>
      <protection/>
    </xf>
    <xf numFmtId="0" fontId="9" fillId="0" borderId="48" xfId="101" applyFont="1" applyBorder="1" applyAlignment="1">
      <alignment horizontal="center" vertical="center" wrapText="1"/>
      <protection/>
    </xf>
    <xf numFmtId="0" fontId="9" fillId="0" borderId="38" xfId="101" applyFont="1" applyBorder="1" applyAlignment="1">
      <alignment horizontal="center"/>
      <protection/>
    </xf>
    <xf numFmtId="0" fontId="9" fillId="0" borderId="80" xfId="101" applyFont="1" applyBorder="1" applyAlignment="1">
      <alignment horizontal="center"/>
      <protection/>
    </xf>
    <xf numFmtId="0" fontId="9" fillId="0" borderId="10" xfId="101" applyFont="1" applyBorder="1" applyAlignment="1">
      <alignment horizontal="center"/>
      <protection/>
    </xf>
    <xf numFmtId="0" fontId="9" fillId="0" borderId="47" xfId="101" applyFont="1" applyBorder="1" applyAlignment="1">
      <alignment horizontal="center" vertical="center" wrapText="1"/>
      <protection/>
    </xf>
    <xf numFmtId="0" fontId="9" fillId="0" borderId="10" xfId="101" applyFont="1" applyBorder="1" applyAlignment="1">
      <alignment horizontal="center" vertical="center" wrapText="1"/>
      <protection/>
    </xf>
    <xf numFmtId="0" fontId="9" fillId="0" borderId="69" xfId="101" applyFont="1" applyBorder="1" applyAlignment="1">
      <alignment horizontal="center" vertical="center" wrapText="1"/>
      <protection/>
    </xf>
    <xf numFmtId="0" fontId="8" fillId="0" borderId="80" xfId="101" applyFont="1" applyBorder="1" applyAlignment="1">
      <alignment horizontal="center" vertical="center" wrapText="1"/>
      <protection/>
    </xf>
    <xf numFmtId="0" fontId="8" fillId="0" borderId="81" xfId="101" applyFont="1" applyBorder="1" applyAlignment="1">
      <alignment horizontal="center" vertical="center" wrapText="1"/>
      <protection/>
    </xf>
    <xf numFmtId="0" fontId="9" fillId="0" borderId="47" xfId="101" applyFont="1" applyBorder="1" applyAlignment="1">
      <alignment horizontal="center" vertical="center"/>
      <protection/>
    </xf>
    <xf numFmtId="0" fontId="9" fillId="0" borderId="82" xfId="101" applyFont="1" applyBorder="1" applyAlignment="1">
      <alignment horizontal="center" vertical="center"/>
      <protection/>
    </xf>
    <xf numFmtId="0" fontId="9" fillId="0" borderId="82" xfId="101" applyFont="1" applyBorder="1" applyAlignment="1">
      <alignment horizontal="center" vertical="center" wrapText="1"/>
      <protection/>
    </xf>
    <xf numFmtId="0" fontId="9" fillId="0" borderId="38" xfId="101" applyFont="1" applyBorder="1" applyAlignment="1">
      <alignment horizontal="center" vertical="center" wrapText="1"/>
      <protection/>
    </xf>
    <xf numFmtId="0" fontId="9" fillId="0" borderId="37" xfId="101" applyFont="1" applyBorder="1" applyAlignment="1">
      <alignment horizontal="center" vertical="center" wrapText="1"/>
      <protection/>
    </xf>
    <xf numFmtId="4" fontId="53" fillId="0" borderId="23" xfId="95" applyNumberFormat="1" applyFont="1" applyFill="1" applyBorder="1" applyAlignment="1">
      <alignment horizontal="right" vertical="center"/>
      <protection/>
    </xf>
    <xf numFmtId="4" fontId="53" fillId="0" borderId="22" xfId="95" applyNumberFormat="1" applyFont="1" applyFill="1" applyBorder="1" applyAlignment="1">
      <alignment horizontal="right" vertical="center"/>
      <protection/>
    </xf>
    <xf numFmtId="0" fontId="13" fillId="0" borderId="0" xfId="101" applyFont="1" applyAlignment="1">
      <alignment horizontal="center" vertical="center" wrapText="1"/>
      <protection/>
    </xf>
    <xf numFmtId="0" fontId="6" fillId="0" borderId="61" xfId="101" applyFont="1" applyBorder="1" applyAlignment="1">
      <alignment horizontal="center"/>
      <protection/>
    </xf>
    <xf numFmtId="0" fontId="6" fillId="0" borderId="73" xfId="101" applyFont="1" applyBorder="1" applyAlignment="1">
      <alignment horizontal="center"/>
      <protection/>
    </xf>
    <xf numFmtId="0" fontId="6" fillId="0" borderId="83" xfId="101" applyFont="1" applyBorder="1" applyAlignment="1">
      <alignment horizontal="center"/>
      <protection/>
    </xf>
    <xf numFmtId="0" fontId="61" fillId="0" borderId="47" xfId="101" applyFont="1" applyBorder="1" applyAlignment="1">
      <alignment horizontal="center" vertical="center" wrapText="1"/>
      <protection/>
    </xf>
    <xf numFmtId="0" fontId="61" fillId="0" borderId="48" xfId="101" applyFont="1" applyBorder="1" applyAlignment="1">
      <alignment horizontal="center" vertical="center" wrapText="1"/>
      <protection/>
    </xf>
    <xf numFmtId="0" fontId="61" fillId="0" borderId="80" xfId="101" applyFont="1" applyBorder="1" applyAlignment="1">
      <alignment horizontal="center" vertical="center" wrapText="1"/>
      <protection/>
    </xf>
    <xf numFmtId="0" fontId="61" fillId="0" borderId="81" xfId="101" applyFont="1" applyBorder="1" applyAlignment="1">
      <alignment horizontal="center" vertical="center" wrapText="1"/>
      <protection/>
    </xf>
    <xf numFmtId="0" fontId="9" fillId="0" borderId="47" xfId="101" applyFont="1" applyBorder="1" applyAlignment="1">
      <alignment horizontal="center" vertical="center"/>
      <protection/>
    </xf>
    <xf numFmtId="0" fontId="9" fillId="0" borderId="82" xfId="101" applyFont="1" applyBorder="1" applyAlignment="1">
      <alignment horizontal="center" vertical="center"/>
      <protection/>
    </xf>
    <xf numFmtId="0" fontId="9" fillId="0" borderId="80" xfId="101" applyFont="1" applyBorder="1" applyAlignment="1">
      <alignment horizontal="center" vertical="center" wrapText="1"/>
      <protection/>
    </xf>
    <xf numFmtId="0" fontId="9" fillId="0" borderId="33" xfId="101" applyFont="1" applyBorder="1" applyAlignment="1">
      <alignment horizontal="center" vertical="center" wrapText="1"/>
      <protection/>
    </xf>
    <xf numFmtId="4" fontId="54" fillId="0" borderId="23" xfId="95" applyNumberFormat="1" applyFont="1" applyFill="1" applyBorder="1" applyAlignment="1">
      <alignment horizontal="right" vertical="center" wrapText="1"/>
      <protection/>
    </xf>
    <xf numFmtId="4" fontId="54" fillId="0" borderId="22" xfId="95" applyNumberFormat="1" applyFont="1" applyFill="1" applyBorder="1" applyAlignment="1">
      <alignment horizontal="right" vertical="center" wrapText="1"/>
      <protection/>
    </xf>
    <xf numFmtId="4" fontId="53" fillId="0" borderId="23" xfId="95" applyNumberFormat="1" applyFont="1" applyFill="1" applyBorder="1" applyAlignment="1">
      <alignment horizontal="right" vertical="center" wrapText="1"/>
      <protection/>
    </xf>
    <xf numFmtId="4" fontId="53" fillId="0" borderId="22" xfId="95" applyNumberFormat="1" applyFont="1" applyFill="1" applyBorder="1" applyAlignment="1">
      <alignment horizontal="right" vertical="center" wrapText="1"/>
      <protection/>
    </xf>
    <xf numFmtId="0" fontId="8" fillId="0" borderId="61" xfId="101" applyFont="1" applyBorder="1" applyAlignment="1">
      <alignment horizontal="center"/>
      <protection/>
    </xf>
    <xf numFmtId="0" fontId="8" fillId="0" borderId="73" xfId="101" applyFont="1" applyBorder="1" applyAlignment="1">
      <alignment horizontal="center"/>
      <protection/>
    </xf>
    <xf numFmtId="0" fontId="8" fillId="0" borderId="56" xfId="101" applyFont="1" applyBorder="1" applyAlignment="1">
      <alignment horizontal="center"/>
      <protection/>
    </xf>
    <xf numFmtId="0" fontId="9" fillId="0" borderId="48" xfId="101" applyFont="1" applyBorder="1" applyAlignment="1">
      <alignment horizontal="center" vertical="center"/>
      <protection/>
    </xf>
    <xf numFmtId="0" fontId="9" fillId="0" borderId="47" xfId="101" applyFont="1" applyBorder="1" applyAlignment="1">
      <alignment horizontal="center" vertical="center" wrapText="1"/>
      <protection/>
    </xf>
    <xf numFmtId="0" fontId="9" fillId="0" borderId="82" xfId="101" applyFont="1" applyBorder="1" applyAlignment="1">
      <alignment horizontal="center" vertical="center" wrapText="1"/>
      <protection/>
    </xf>
    <xf numFmtId="0" fontId="9" fillId="0" borderId="48" xfId="101" applyFont="1" applyBorder="1" applyAlignment="1">
      <alignment horizontal="center" vertical="center" wrapText="1"/>
      <protection/>
    </xf>
    <xf numFmtId="0" fontId="15" fillId="0" borderId="0" xfId="101" applyFont="1" applyAlignment="1">
      <alignment horizontal="left" vertical="center" wrapText="1"/>
      <protection/>
    </xf>
    <xf numFmtId="0" fontId="8" fillId="0" borderId="12" xfId="101" applyFont="1" applyBorder="1" applyAlignment="1">
      <alignment horizontal="center"/>
      <protection/>
    </xf>
    <xf numFmtId="0" fontId="8" fillId="0" borderId="13" xfId="101" applyFont="1" applyBorder="1" applyAlignment="1">
      <alignment horizontal="center"/>
      <protection/>
    </xf>
    <xf numFmtId="0" fontId="9" fillId="0" borderId="81" xfId="101" applyFont="1" applyBorder="1" applyAlignment="1">
      <alignment horizontal="center" vertical="center" wrapText="1"/>
      <protection/>
    </xf>
    <xf numFmtId="20" fontId="9" fillId="0" borderId="47" xfId="101" applyNumberFormat="1" applyFont="1" applyBorder="1" applyAlignment="1" quotePrefix="1">
      <alignment horizontal="center" vertical="center" wrapText="1"/>
      <protection/>
    </xf>
    <xf numFmtId="0" fontId="9" fillId="0" borderId="38" xfId="101" applyFont="1" applyBorder="1" applyAlignment="1">
      <alignment horizontal="center"/>
      <protection/>
    </xf>
    <xf numFmtId="0" fontId="9" fillId="0" borderId="80" xfId="101" applyFont="1" applyBorder="1" applyAlignment="1">
      <alignment horizontal="center"/>
      <protection/>
    </xf>
    <xf numFmtId="0" fontId="9" fillId="0" borderId="10" xfId="101" applyFont="1" applyBorder="1" applyAlignment="1">
      <alignment horizontal="center"/>
      <protection/>
    </xf>
    <xf numFmtId="0" fontId="9" fillId="0" borderId="10" xfId="101" applyFont="1" applyBorder="1" applyAlignment="1">
      <alignment horizontal="center" vertical="center" wrapText="1"/>
      <protection/>
    </xf>
    <xf numFmtId="0" fontId="9" fillId="0" borderId="69" xfId="101" applyFont="1" applyBorder="1" applyAlignment="1">
      <alignment horizontal="center" vertical="center" wrapText="1"/>
      <protection/>
    </xf>
    <xf numFmtId="0" fontId="8" fillId="0" borderId="80" xfId="101" applyFont="1" applyBorder="1" applyAlignment="1">
      <alignment horizontal="center" vertical="center" wrapText="1"/>
      <protection/>
    </xf>
    <xf numFmtId="0" fontId="8" fillId="0" borderId="81" xfId="101" applyFont="1" applyBorder="1" applyAlignment="1">
      <alignment horizontal="center" vertical="center" wrapText="1"/>
      <protection/>
    </xf>
    <xf numFmtId="0" fontId="9" fillId="0" borderId="38" xfId="101" applyFont="1" applyBorder="1" applyAlignment="1">
      <alignment horizontal="center" vertical="center" wrapText="1"/>
      <protection/>
    </xf>
    <xf numFmtId="0" fontId="9" fillId="0" borderId="37" xfId="101" applyFont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left" wrapText="1"/>
    </xf>
    <xf numFmtId="0" fontId="15" fillId="0" borderId="37" xfId="0" applyFont="1" applyBorder="1" applyAlignment="1">
      <alignment horizontal="center" wrapText="1"/>
    </xf>
    <xf numFmtId="0" fontId="6" fillId="0" borderId="43" xfId="101" applyFont="1" applyBorder="1" applyAlignment="1">
      <alignment horizontal="center" vertical="center" wrapText="1"/>
      <protection/>
    </xf>
    <xf numFmtId="0" fontId="6" fillId="0" borderId="43" xfId="101" applyFont="1" applyBorder="1" applyAlignment="1">
      <alignment horizontal="center"/>
      <protection/>
    </xf>
    <xf numFmtId="0" fontId="13" fillId="0" borderId="0" xfId="101" applyFont="1" applyBorder="1" applyAlignment="1">
      <alignment horizontal="center"/>
      <protection/>
    </xf>
    <xf numFmtId="0" fontId="6" fillId="0" borderId="43" xfId="101" applyFont="1" applyBorder="1" applyAlignment="1" quotePrefix="1">
      <alignment horizontal="center" vertical="center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Arkusz1_1" xfId="88"/>
    <cellStyle name="Normalny_Arkusz1_G_06" xfId="89"/>
    <cellStyle name="Normalny_Arkusz2" xfId="90"/>
    <cellStyle name="Normalny_Arkusz3" xfId="91"/>
    <cellStyle name="Normalny_Arkusz4" xfId="92"/>
    <cellStyle name="Normalny_do zobow_henia." xfId="93"/>
    <cellStyle name="Normalny_GMINY" xfId="94"/>
    <cellStyle name="Normalny_JST_zalaczniki_2007_280508" xfId="95"/>
    <cellStyle name="Normalny_MIASTA_M_06" xfId="96"/>
    <cellStyle name="Normalny_Nal_06" xfId="97"/>
    <cellStyle name="Normalny_POWIATY" xfId="98"/>
    <cellStyle name="Normalny_WOJ" xfId="99"/>
    <cellStyle name="Normalny_WOJEWÓDZTWA" xfId="100"/>
    <cellStyle name="Normalny_Zał_IIkw2006" xfId="101"/>
    <cellStyle name="Normalny_Zeszyt1" xfId="102"/>
    <cellStyle name="Normalny_zobow" xfId="103"/>
    <cellStyle name="Normalny_zobspr2007_JST" xfId="104"/>
    <cellStyle name="Note" xfId="105"/>
    <cellStyle name="Obliczenia" xfId="106"/>
    <cellStyle name="Followed Hyperlink" xfId="107"/>
    <cellStyle name="Output" xfId="108"/>
    <cellStyle name="Percent" xfId="109"/>
    <cellStyle name="Suma" xfId="110"/>
    <cellStyle name="Tekst objaśnienia" xfId="111"/>
    <cellStyle name="Tekst ostrzeżenia" xfId="112"/>
    <cellStyle name="Title" xfId="113"/>
    <cellStyle name="Total" xfId="114"/>
    <cellStyle name="Tytuł" xfId="115"/>
    <cellStyle name="Uwaga" xfId="116"/>
    <cellStyle name="Currency" xfId="117"/>
    <cellStyle name="Currency [0]" xfId="118"/>
    <cellStyle name="Warning Text" xfId="119"/>
    <cellStyle name="Złe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180975</xdr:rowOff>
    </xdr:from>
    <xdr:to>
      <xdr:col>5</xdr:col>
      <xdr:colOff>266700</xdr:colOff>
      <xdr:row>16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57650"/>
          <a:ext cx="6257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strona 1 z 2</a:t>
          </a:r>
        </a:p>
      </xdr:txBody>
    </xdr:sp>
    <xdr:clientData/>
  </xdr:twoCellAnchor>
  <xdr:twoCellAnchor>
    <xdr:from>
      <xdr:col>0</xdr:col>
      <xdr:colOff>0</xdr:colOff>
      <xdr:row>74</xdr:row>
      <xdr:rowOff>95250</xdr:rowOff>
    </xdr:from>
    <xdr:to>
      <xdr:col>6</xdr:col>
      <xdr:colOff>0</xdr:colOff>
      <xdr:row>77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5287625"/>
          <a:ext cx="66008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strona 2 z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f.gov.pl/080115\zalaczniki_2007_080508_ma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cd"/>
      <sheetName val="2"/>
      <sheetName val="3"/>
      <sheetName val="4"/>
      <sheetName val="5"/>
      <sheetName val="6"/>
      <sheetName val="7"/>
      <sheetName val="8"/>
      <sheetName val="9"/>
      <sheetName val="9cd"/>
      <sheetName val="10"/>
      <sheetName val="10a"/>
      <sheetName val="11"/>
      <sheetName val="11a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0cd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cd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1cd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5cd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0">
      <selection activeCell="A1" sqref="A1:E1"/>
    </sheetView>
  </sheetViews>
  <sheetFormatPr defaultColWidth="9.140625" defaultRowHeight="12.75"/>
  <cols>
    <col min="1" max="1" width="41.7109375" style="279" customWidth="1"/>
    <col min="2" max="2" width="15.28125" style="285" customWidth="1"/>
    <col min="3" max="3" width="13.421875" style="285" customWidth="1"/>
    <col min="4" max="4" width="13.28125" style="285" customWidth="1"/>
    <col min="5" max="5" width="16.00390625" style="285" customWidth="1"/>
    <col min="6" max="16384" width="17.421875" style="279" customWidth="1"/>
  </cols>
  <sheetData>
    <row r="1" spans="1:5" ht="62.25" customHeight="1">
      <c r="A1" s="387" t="s">
        <v>508</v>
      </c>
      <c r="B1" s="387"/>
      <c r="C1" s="387"/>
      <c r="D1" s="387"/>
      <c r="E1" s="387"/>
    </row>
    <row r="2" spans="1:5" ht="42.75" customHeight="1">
      <c r="A2" s="280" t="s">
        <v>463</v>
      </c>
      <c r="B2" s="280" t="s">
        <v>509</v>
      </c>
      <c r="C2" s="280">
        <v>2005</v>
      </c>
      <c r="D2" s="280">
        <v>2006</v>
      </c>
      <c r="E2" s="280">
        <v>2007</v>
      </c>
    </row>
    <row r="3" spans="1:5" ht="12.75">
      <c r="A3" s="281">
        <v>1</v>
      </c>
      <c r="B3" s="282">
        <v>2</v>
      </c>
      <c r="C3" s="282">
        <v>3</v>
      </c>
      <c r="D3" s="282">
        <v>4</v>
      </c>
      <c r="E3" s="282">
        <v>5</v>
      </c>
    </row>
    <row r="4" spans="1:5" s="285" customFormat="1" ht="28.5" customHeight="1">
      <c r="A4" s="283" t="s">
        <v>510</v>
      </c>
      <c r="B4" s="284"/>
      <c r="C4" s="284"/>
      <c r="D4" s="284"/>
      <c r="E4" s="284"/>
    </row>
    <row r="5" spans="1:5" s="285" customFormat="1" ht="28.5" customHeight="1">
      <c r="A5" s="286" t="s">
        <v>511</v>
      </c>
      <c r="B5" s="287" t="s">
        <v>512</v>
      </c>
      <c r="C5" s="288">
        <v>102911882</v>
      </c>
      <c r="D5" s="288">
        <v>117040222</v>
      </c>
      <c r="E5" s="288">
        <v>131380203</v>
      </c>
    </row>
    <row r="6" spans="1:5" s="285" customFormat="1" ht="28.5" customHeight="1">
      <c r="A6" s="286" t="s">
        <v>4</v>
      </c>
      <c r="B6" s="287" t="s">
        <v>512</v>
      </c>
      <c r="C6" s="288">
        <v>21180976</v>
      </c>
      <c r="D6" s="288">
        <v>24949122</v>
      </c>
      <c r="E6" s="288">
        <v>25876097</v>
      </c>
    </row>
    <row r="7" spans="1:5" s="285" customFormat="1" ht="28.5" customHeight="1">
      <c r="A7" s="286" t="s">
        <v>513</v>
      </c>
      <c r="B7" s="287" t="s">
        <v>512</v>
      </c>
      <c r="C7" s="288">
        <v>264282</v>
      </c>
      <c r="D7" s="288">
        <v>234100</v>
      </c>
      <c r="E7" s="288">
        <v>179952</v>
      </c>
    </row>
    <row r="8" spans="1:5" s="285" customFormat="1" ht="28.5" customHeight="1">
      <c r="A8" s="286" t="s">
        <v>514</v>
      </c>
      <c r="B8" s="287" t="s">
        <v>512</v>
      </c>
      <c r="C8" s="288">
        <v>996757</v>
      </c>
      <c r="D8" s="288">
        <v>839435</v>
      </c>
      <c r="E8" s="289">
        <v>994099</v>
      </c>
    </row>
    <row r="9" spans="1:5" s="285" customFormat="1" ht="28.5" customHeight="1">
      <c r="A9" s="286" t="s">
        <v>515</v>
      </c>
      <c r="B9" s="287" t="s">
        <v>512</v>
      </c>
      <c r="C9" s="288">
        <v>41784</v>
      </c>
      <c r="D9" s="288">
        <v>33265</v>
      </c>
      <c r="E9" s="288">
        <v>69116</v>
      </c>
    </row>
    <row r="10" spans="1:5" s="285" customFormat="1" ht="28.5" customHeight="1">
      <c r="A10" s="286" t="s">
        <v>516</v>
      </c>
      <c r="B10" s="287" t="s">
        <v>491</v>
      </c>
      <c r="C10" s="290">
        <f>+C6/C5*100</f>
        <v>20.581662280746162</v>
      </c>
      <c r="D10" s="290">
        <f>+D6/D5*100</f>
        <v>21.31670768703771</v>
      </c>
      <c r="E10" s="290">
        <f>+E6/E5*100</f>
        <v>19.695583055233975</v>
      </c>
    </row>
    <row r="11" spans="1:5" s="285" customFormat="1" ht="28.5" customHeight="1">
      <c r="A11" s="286" t="s">
        <v>517</v>
      </c>
      <c r="B11" s="287" t="s">
        <v>491</v>
      </c>
      <c r="C11" s="290">
        <f>+C7/C5*100</f>
        <v>0.25680416572306003</v>
      </c>
      <c r="D11" s="290">
        <f>+D7/D5*100</f>
        <v>0.20001670878580527</v>
      </c>
      <c r="E11" s="290">
        <f>+E7/E5*100</f>
        <v>0.13697040793885817</v>
      </c>
    </row>
    <row r="12" spans="1:5" s="285" customFormat="1" ht="28.5" customHeight="1">
      <c r="A12" s="286" t="s">
        <v>518</v>
      </c>
      <c r="B12" s="287" t="s">
        <v>491</v>
      </c>
      <c r="C12" s="290">
        <f>+C7/C6*100</f>
        <v>1.2477328712331293</v>
      </c>
      <c r="D12" s="290">
        <f>+D7/D6*100</f>
        <v>0.9383095725773436</v>
      </c>
      <c r="E12" s="290">
        <f>+E7/E6*100</f>
        <v>0.6954371828177952</v>
      </c>
    </row>
    <row r="13" spans="1:5" s="285" customFormat="1" ht="28.5" customHeight="1">
      <c r="A13" s="283" t="s">
        <v>472</v>
      </c>
      <c r="B13" s="287"/>
      <c r="C13" s="291"/>
      <c r="D13" s="292"/>
      <c r="E13" s="292"/>
    </row>
    <row r="14" spans="1:5" s="285" customFormat="1" ht="28.5" customHeight="1">
      <c r="A14" s="286" t="s">
        <v>511</v>
      </c>
      <c r="B14" s="287" t="s">
        <v>512</v>
      </c>
      <c r="C14" s="288">
        <v>45813191</v>
      </c>
      <c r="D14" s="288">
        <v>51724275</v>
      </c>
      <c r="E14" s="288">
        <v>57003129</v>
      </c>
    </row>
    <row r="15" spans="1:5" s="285" customFormat="1" ht="28.5" customHeight="1">
      <c r="A15" s="286" t="s">
        <v>4</v>
      </c>
      <c r="B15" s="287" t="s">
        <v>512</v>
      </c>
      <c r="C15" s="288">
        <v>8067277</v>
      </c>
      <c r="D15" s="288">
        <v>9586249</v>
      </c>
      <c r="E15" s="288">
        <v>9958558</v>
      </c>
    </row>
    <row r="16" spans="1:5" s="285" customFormat="1" ht="28.5" customHeight="1">
      <c r="A16" s="286" t="s">
        <v>513</v>
      </c>
      <c r="B16" s="287" t="s">
        <v>512</v>
      </c>
      <c r="C16" s="288">
        <v>189690</v>
      </c>
      <c r="D16" s="288">
        <v>164753</v>
      </c>
      <c r="E16" s="288">
        <v>122498</v>
      </c>
    </row>
    <row r="17" spans="1:5" s="285" customFormat="1" ht="28.5" customHeight="1">
      <c r="A17" s="286" t="s">
        <v>514</v>
      </c>
      <c r="B17" s="287" t="s">
        <v>512</v>
      </c>
      <c r="C17" s="288">
        <v>345519</v>
      </c>
      <c r="D17" s="288">
        <v>300975</v>
      </c>
      <c r="E17" s="288">
        <v>360767</v>
      </c>
    </row>
    <row r="18" spans="1:5" s="285" customFormat="1" ht="28.5" customHeight="1">
      <c r="A18" s="286" t="s">
        <v>515</v>
      </c>
      <c r="B18" s="287" t="s">
        <v>512</v>
      </c>
      <c r="C18" s="288">
        <v>9485</v>
      </c>
      <c r="D18" s="288">
        <v>9677</v>
      </c>
      <c r="E18" s="288">
        <v>7581</v>
      </c>
    </row>
    <row r="19" spans="1:5" s="285" customFormat="1" ht="28.5" customHeight="1">
      <c r="A19" s="286" t="s">
        <v>519</v>
      </c>
      <c r="B19" s="287" t="s">
        <v>491</v>
      </c>
      <c r="C19" s="290">
        <f>+C15/C14*100</f>
        <v>17.60907027847067</v>
      </c>
      <c r="D19" s="290">
        <f>+D15/D14*100</f>
        <v>18.53336561991444</v>
      </c>
      <c r="E19" s="290">
        <f>+E15/E14*100</f>
        <v>17.470195364187816</v>
      </c>
    </row>
    <row r="20" spans="1:5" s="285" customFormat="1" ht="28.5" customHeight="1">
      <c r="A20" s="286" t="s">
        <v>520</v>
      </c>
      <c r="B20" s="287" t="s">
        <v>491</v>
      </c>
      <c r="C20" s="290">
        <f>+C16/C14*100</f>
        <v>0.4140510535491841</v>
      </c>
      <c r="D20" s="290">
        <f>+D16/D14*100</f>
        <v>0.31852162258436684</v>
      </c>
      <c r="E20" s="290">
        <f>+E16/E14*100</f>
        <v>0.21489697521692186</v>
      </c>
    </row>
    <row r="21" spans="1:5" s="285" customFormat="1" ht="28.5" customHeight="1">
      <c r="A21" s="286" t="s">
        <v>521</v>
      </c>
      <c r="B21" s="287" t="s">
        <v>491</v>
      </c>
      <c r="C21" s="290">
        <f>+C16/C15*100</f>
        <v>2.3513510196811143</v>
      </c>
      <c r="D21" s="290">
        <f>+D16/D15*100</f>
        <v>1.7186388544674776</v>
      </c>
      <c r="E21" s="290">
        <f>+E16/E15*100</f>
        <v>1.2300776879544209</v>
      </c>
    </row>
    <row r="22" spans="1:5" s="285" customFormat="1" ht="28.5" customHeight="1">
      <c r="A22" s="283" t="s">
        <v>475</v>
      </c>
      <c r="B22" s="287"/>
      <c r="C22" s="291"/>
      <c r="D22" s="291"/>
      <c r="E22" s="291"/>
    </row>
    <row r="23" spans="1:5" s="285" customFormat="1" ht="28.5" customHeight="1">
      <c r="A23" s="286" t="s">
        <v>511</v>
      </c>
      <c r="B23" s="287" t="s">
        <v>512</v>
      </c>
      <c r="C23" s="288">
        <v>13762684</v>
      </c>
      <c r="D23" s="288">
        <v>14844238</v>
      </c>
      <c r="E23" s="288">
        <v>16154756</v>
      </c>
    </row>
    <row r="24" spans="1:5" s="285" customFormat="1" ht="28.5" customHeight="1">
      <c r="A24" s="286" t="s">
        <v>4</v>
      </c>
      <c r="B24" s="287" t="s">
        <v>512</v>
      </c>
      <c r="C24" s="288">
        <v>1815593</v>
      </c>
      <c r="D24" s="288">
        <v>2492694</v>
      </c>
      <c r="E24" s="288">
        <v>2639529</v>
      </c>
    </row>
    <row r="25" spans="1:5" s="285" customFormat="1" ht="28.5" customHeight="1">
      <c r="A25" s="286" t="s">
        <v>513</v>
      </c>
      <c r="B25" s="287" t="s">
        <v>512</v>
      </c>
      <c r="C25" s="288">
        <v>8491</v>
      </c>
      <c r="D25" s="288">
        <v>11880</v>
      </c>
      <c r="E25" s="288">
        <v>6010</v>
      </c>
    </row>
    <row r="26" spans="1:5" s="285" customFormat="1" ht="28.5" customHeight="1">
      <c r="A26" s="286" t="s">
        <v>514</v>
      </c>
      <c r="B26" s="287" t="s">
        <v>512</v>
      </c>
      <c r="C26" s="288">
        <v>115348</v>
      </c>
      <c r="D26" s="288">
        <v>84841</v>
      </c>
      <c r="E26" s="288">
        <v>112375</v>
      </c>
    </row>
    <row r="27" spans="1:5" s="285" customFormat="1" ht="28.5" customHeight="1">
      <c r="A27" s="286" t="s">
        <v>515</v>
      </c>
      <c r="B27" s="287" t="s">
        <v>512</v>
      </c>
      <c r="C27" s="288">
        <v>23781</v>
      </c>
      <c r="D27" s="288">
        <v>17813</v>
      </c>
      <c r="E27" s="288">
        <v>22500</v>
      </c>
    </row>
    <row r="28" spans="1:5" s="285" customFormat="1" ht="28.5" customHeight="1">
      <c r="A28" s="286" t="s">
        <v>516</v>
      </c>
      <c r="B28" s="287" t="s">
        <v>491</v>
      </c>
      <c r="C28" s="290">
        <f>+C24/C23*100</f>
        <v>13.192143334832071</v>
      </c>
      <c r="D28" s="290">
        <f>+D24/D23*100</f>
        <v>16.792333833504962</v>
      </c>
      <c r="E28" s="290">
        <f>+E24/E23*100</f>
        <v>16.339021152656223</v>
      </c>
    </row>
    <row r="29" spans="1:5" s="285" customFormat="1" ht="28.5" customHeight="1">
      <c r="A29" s="286" t="s">
        <v>522</v>
      </c>
      <c r="B29" s="287" t="s">
        <v>491</v>
      </c>
      <c r="C29" s="290">
        <f>+C25/C23*100</f>
        <v>0.06169581456640289</v>
      </c>
      <c r="D29" s="290">
        <f>+D25/D23*100</f>
        <v>0.08003105312647238</v>
      </c>
      <c r="E29" s="290">
        <f>+E25/E23*100</f>
        <v>0.037202666508859686</v>
      </c>
    </row>
    <row r="30" spans="1:5" s="285" customFormat="1" ht="28.5" customHeight="1">
      <c r="A30" s="286" t="s">
        <v>523</v>
      </c>
      <c r="B30" s="287" t="s">
        <v>491</v>
      </c>
      <c r="C30" s="290">
        <f>+C25/C24*100</f>
        <v>0.46767089320128463</v>
      </c>
      <c r="D30" s="290">
        <f>+D25/D24*100</f>
        <v>0.4765927947834752</v>
      </c>
      <c r="E30" s="290">
        <f>+E25/E24*100</f>
        <v>0.22769213749877348</v>
      </c>
    </row>
    <row r="31" spans="1:5" s="285" customFormat="1" ht="28.5" customHeight="1">
      <c r="A31" s="283" t="s">
        <v>473</v>
      </c>
      <c r="B31" s="287"/>
      <c r="C31" s="291"/>
      <c r="D31" s="291"/>
      <c r="E31" s="291"/>
    </row>
    <row r="32" spans="1:5" s="285" customFormat="1" ht="28.5" customHeight="1">
      <c r="A32" s="286" t="s">
        <v>511</v>
      </c>
      <c r="B32" s="287" t="s">
        <v>512</v>
      </c>
      <c r="C32" s="288">
        <v>36269800</v>
      </c>
      <c r="D32" s="288">
        <v>40985861</v>
      </c>
      <c r="E32" s="288">
        <v>46873425</v>
      </c>
    </row>
    <row r="33" spans="1:5" s="285" customFormat="1" ht="28.5" customHeight="1">
      <c r="A33" s="286" t="s">
        <v>4</v>
      </c>
      <c r="B33" s="287" t="s">
        <v>512</v>
      </c>
      <c r="C33" s="288">
        <v>10415485</v>
      </c>
      <c r="D33" s="288">
        <v>11296200</v>
      </c>
      <c r="E33" s="288">
        <v>11258691</v>
      </c>
    </row>
    <row r="34" spans="1:5" s="285" customFormat="1" ht="28.5" customHeight="1">
      <c r="A34" s="286" t="s">
        <v>513</v>
      </c>
      <c r="B34" s="287" t="s">
        <v>512</v>
      </c>
      <c r="C34" s="288">
        <v>60184</v>
      </c>
      <c r="D34" s="288">
        <v>51703</v>
      </c>
      <c r="E34" s="288">
        <v>48305</v>
      </c>
    </row>
    <row r="35" spans="1:5" s="285" customFormat="1" ht="28.5" customHeight="1">
      <c r="A35" s="286" t="s">
        <v>514</v>
      </c>
      <c r="B35" s="287" t="s">
        <v>512</v>
      </c>
      <c r="C35" s="288">
        <v>500676</v>
      </c>
      <c r="D35" s="288">
        <v>424501</v>
      </c>
      <c r="E35" s="288">
        <v>477643</v>
      </c>
    </row>
    <row r="36" spans="1:5" s="285" customFormat="1" ht="28.5" customHeight="1">
      <c r="A36" s="286" t="s">
        <v>515</v>
      </c>
      <c r="B36" s="287" t="s">
        <v>512</v>
      </c>
      <c r="C36" s="288">
        <v>2692</v>
      </c>
      <c r="D36" s="288">
        <v>1053</v>
      </c>
      <c r="E36" s="288">
        <v>32602</v>
      </c>
    </row>
    <row r="37" spans="1:5" s="285" customFormat="1" ht="28.5" customHeight="1">
      <c r="A37" s="286" t="s">
        <v>519</v>
      </c>
      <c r="B37" s="287" t="s">
        <v>491</v>
      </c>
      <c r="C37" s="290">
        <f>+C33/C32*100</f>
        <v>28.71668716121953</v>
      </c>
      <c r="D37" s="290">
        <f>+D33/D32*100</f>
        <v>27.561211901831218</v>
      </c>
      <c r="E37" s="290">
        <f>+E33/E32*100</f>
        <v>24.01934785008776</v>
      </c>
    </row>
    <row r="38" spans="1:5" s="285" customFormat="1" ht="28.5" customHeight="1">
      <c r="A38" s="286" t="s">
        <v>520</v>
      </c>
      <c r="B38" s="287" t="s">
        <v>491</v>
      </c>
      <c r="C38" s="290">
        <f>+C34/C32*100</f>
        <v>0.16593419318551522</v>
      </c>
      <c r="D38" s="290">
        <f>+D34/D32*100</f>
        <v>0.12614838077941073</v>
      </c>
      <c r="E38" s="290">
        <f>+E34/E32*100</f>
        <v>0.10305412928541065</v>
      </c>
    </row>
    <row r="39" spans="1:5" s="285" customFormat="1" ht="28.5" customHeight="1">
      <c r="A39" s="286" t="s">
        <v>521</v>
      </c>
      <c r="B39" s="287" t="s">
        <v>491</v>
      </c>
      <c r="C39" s="290">
        <f>+C34/C33*100</f>
        <v>0.5778319492563236</v>
      </c>
      <c r="D39" s="290">
        <f>+D34/D33*100</f>
        <v>0.45770259025158905</v>
      </c>
      <c r="E39" s="290">
        <f>+E34/E33*100</f>
        <v>0.42904632519002434</v>
      </c>
    </row>
    <row r="40" spans="1:5" s="285" customFormat="1" ht="28.5" customHeight="1">
      <c r="A40" s="283" t="s">
        <v>480</v>
      </c>
      <c r="B40" s="287"/>
      <c r="C40" s="291"/>
      <c r="D40" s="287"/>
      <c r="E40" s="287"/>
    </row>
    <row r="41" spans="1:5" s="285" customFormat="1" ht="28.5" customHeight="1">
      <c r="A41" s="286" t="s">
        <v>511</v>
      </c>
      <c r="B41" s="287" t="s">
        <v>512</v>
      </c>
      <c r="C41" s="288">
        <v>7066206</v>
      </c>
      <c r="D41" s="288">
        <v>9485847</v>
      </c>
      <c r="E41" s="288">
        <v>11348892</v>
      </c>
    </row>
    <row r="42" spans="1:5" s="285" customFormat="1" ht="28.5" customHeight="1">
      <c r="A42" s="286" t="s">
        <v>4</v>
      </c>
      <c r="B42" s="287" t="s">
        <v>512</v>
      </c>
      <c r="C42" s="288">
        <v>882621</v>
      </c>
      <c r="D42" s="288">
        <v>1573979</v>
      </c>
      <c r="E42" s="288">
        <v>2019320</v>
      </c>
    </row>
    <row r="43" spans="1:5" s="285" customFormat="1" ht="28.5" customHeight="1">
      <c r="A43" s="286" t="s">
        <v>513</v>
      </c>
      <c r="B43" s="287" t="s">
        <v>512</v>
      </c>
      <c r="C43" s="288">
        <v>5917</v>
      </c>
      <c r="D43" s="288">
        <v>5764</v>
      </c>
      <c r="E43" s="288">
        <v>3139</v>
      </c>
    </row>
    <row r="44" spans="1:5" s="285" customFormat="1" ht="28.5" customHeight="1">
      <c r="A44" s="286" t="s">
        <v>514</v>
      </c>
      <c r="B44" s="287" t="s">
        <v>512</v>
      </c>
      <c r="C44" s="288">
        <v>35214</v>
      </c>
      <c r="D44" s="288">
        <v>29118</v>
      </c>
      <c r="E44" s="288">
        <v>43315</v>
      </c>
    </row>
    <row r="45" spans="1:5" s="285" customFormat="1" ht="28.5" customHeight="1">
      <c r="A45" s="286" t="s">
        <v>515</v>
      </c>
      <c r="B45" s="287" t="s">
        <v>512</v>
      </c>
      <c r="C45" s="288">
        <v>5826</v>
      </c>
      <c r="D45" s="288">
        <v>4722</v>
      </c>
      <c r="E45" s="288">
        <v>6433</v>
      </c>
    </row>
    <row r="46" spans="1:5" s="285" customFormat="1" ht="28.5" customHeight="1">
      <c r="A46" s="286" t="s">
        <v>516</v>
      </c>
      <c r="B46" s="287" t="s">
        <v>491</v>
      </c>
      <c r="C46" s="290">
        <f>+C42/C41*100</f>
        <v>12.490734065777307</v>
      </c>
      <c r="D46" s="290">
        <f>+D42/D41*100</f>
        <v>16.592919957490356</v>
      </c>
      <c r="E46" s="290">
        <f>+E42/E41*100</f>
        <v>17.79310262182423</v>
      </c>
    </row>
    <row r="47" spans="1:5" s="285" customFormat="1" ht="28.5" customHeight="1">
      <c r="A47" s="286" t="s">
        <v>522</v>
      </c>
      <c r="B47" s="287" t="s">
        <v>491</v>
      </c>
      <c r="C47" s="290">
        <f>+C43/C41*100</f>
        <v>0.0837365907532274</v>
      </c>
      <c r="D47" s="290">
        <f>+D43/D41*100</f>
        <v>0.06076421009109677</v>
      </c>
      <c r="E47" s="290">
        <f>+E43/E41*100</f>
        <v>0.027659087777027042</v>
      </c>
    </row>
    <row r="48" spans="1:5" s="285" customFormat="1" ht="28.5" customHeight="1">
      <c r="A48" s="286" t="s">
        <v>518</v>
      </c>
      <c r="B48" s="287" t="s">
        <v>491</v>
      </c>
      <c r="C48" s="290">
        <f>+C43/C42*100</f>
        <v>0.6703896689519058</v>
      </c>
      <c r="D48" s="290">
        <f>+D43/D42*100</f>
        <v>0.36620564823291796</v>
      </c>
      <c r="E48" s="290">
        <f>+E43/E42*100</f>
        <v>0.15544836875779966</v>
      </c>
    </row>
    <row r="49" spans="1:5" s="285" customFormat="1" ht="28.5" customHeight="1">
      <c r="A49" s="293" t="s">
        <v>691</v>
      </c>
      <c r="B49" s="294"/>
      <c r="C49" s="294"/>
      <c r="D49" s="294"/>
      <c r="E49" s="294"/>
    </row>
    <row r="50" s="285" customFormat="1" ht="20.25" customHeight="1"/>
  </sheetData>
  <mergeCells count="1">
    <mergeCell ref="A1:E1"/>
  </mergeCells>
  <printOptions horizontalCentered="1"/>
  <pageMargins left="0.5905511811023623" right="0.5905511811023623" top="0.7874015748031497" bottom="0.984251968503937" header="0.5118110236220472" footer="0.5118110236220472"/>
  <pageSetup fitToHeight="2" horizontalDpi="600" verticalDpi="600" orientation="portrait" paperSize="9" scale="90" r:id="rId1"/>
  <headerFooter alignWithMargins="0">
    <oddFooter>&amp;Cstr.&amp;P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1" sqref="A1:M1"/>
    </sheetView>
  </sheetViews>
  <sheetFormatPr defaultColWidth="9.140625" defaultRowHeight="13.5" customHeight="1"/>
  <cols>
    <col min="1" max="1" width="20.8515625" style="296" customWidth="1"/>
    <col min="2" max="7" width="11.421875" style="296" customWidth="1"/>
    <col min="8" max="8" width="10.00390625" style="296" customWidth="1"/>
    <col min="9" max="9" width="10.140625" style="296" customWidth="1"/>
    <col min="10" max="10" width="11.421875" style="296" customWidth="1"/>
    <col min="11" max="11" width="9.8515625" style="296" customWidth="1"/>
    <col min="12" max="13" width="10.00390625" style="296" customWidth="1"/>
    <col min="14" max="16384" width="9.140625" style="296" customWidth="1"/>
  </cols>
  <sheetData>
    <row r="1" spans="1:13" ht="13.5" customHeight="1">
      <c r="A1" s="420" t="s">
        <v>684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customHeight="1">
      <c r="A3" s="426" t="s">
        <v>626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ht="6" customHeight="1"/>
    <row r="5" spans="1:13" ht="13.5" customHeight="1">
      <c r="A5" s="441" t="s">
        <v>463</v>
      </c>
      <c r="B5" s="436" t="s">
        <v>627</v>
      </c>
      <c r="C5" s="439" t="s">
        <v>628</v>
      </c>
      <c r="D5" s="439"/>
      <c r="E5" s="439"/>
      <c r="F5" s="439"/>
      <c r="G5" s="439"/>
      <c r="H5" s="439"/>
      <c r="I5" s="439"/>
      <c r="J5" s="439"/>
      <c r="K5" s="439"/>
      <c r="L5" s="439"/>
      <c r="M5" s="440"/>
    </row>
    <row r="6" spans="1:13" ht="13.5" customHeight="1">
      <c r="A6" s="442"/>
      <c r="B6" s="437"/>
      <c r="C6" s="444" t="s">
        <v>629</v>
      </c>
      <c r="D6" s="439"/>
      <c r="E6" s="439"/>
      <c r="F6" s="439"/>
      <c r="G6" s="439"/>
      <c r="H6" s="439"/>
      <c r="I6" s="439"/>
      <c r="J6" s="440"/>
      <c r="K6" s="444" t="s">
        <v>630</v>
      </c>
      <c r="L6" s="439"/>
      <c r="M6" s="440"/>
    </row>
    <row r="7" spans="1:13" ht="13.5" customHeight="1">
      <c r="A7" s="442"/>
      <c r="B7" s="437"/>
      <c r="C7" s="436" t="s">
        <v>465</v>
      </c>
      <c r="D7" s="439" t="s">
        <v>631</v>
      </c>
      <c r="E7" s="439"/>
      <c r="F7" s="439"/>
      <c r="G7" s="439"/>
      <c r="H7" s="439"/>
      <c r="I7" s="439"/>
      <c r="J7" s="440"/>
      <c r="K7" s="436" t="s">
        <v>465</v>
      </c>
      <c r="L7" s="439" t="s">
        <v>631</v>
      </c>
      <c r="M7" s="440"/>
    </row>
    <row r="8" spans="1:13" ht="13.5" customHeight="1">
      <c r="A8" s="442"/>
      <c r="B8" s="437"/>
      <c r="C8" s="437"/>
      <c r="D8" s="436" t="s">
        <v>632</v>
      </c>
      <c r="E8" s="440" t="s">
        <v>633</v>
      </c>
      <c r="F8" s="425"/>
      <c r="G8" s="425"/>
      <c r="H8" s="425"/>
      <c r="I8" s="421" t="s">
        <v>634</v>
      </c>
      <c r="J8" s="421" t="s">
        <v>635</v>
      </c>
      <c r="K8" s="437"/>
      <c r="L8" s="421" t="s">
        <v>636</v>
      </c>
      <c r="M8" s="421" t="s">
        <v>637</v>
      </c>
    </row>
    <row r="9" spans="1:13" ht="13.5" customHeight="1">
      <c r="A9" s="442"/>
      <c r="B9" s="437"/>
      <c r="C9" s="437"/>
      <c r="D9" s="437"/>
      <c r="E9" s="436" t="s">
        <v>638</v>
      </c>
      <c r="F9" s="298" t="s">
        <v>631</v>
      </c>
      <c r="G9" s="421" t="s">
        <v>639</v>
      </c>
      <c r="H9" s="421" t="s">
        <v>640</v>
      </c>
      <c r="I9" s="422"/>
      <c r="J9" s="422"/>
      <c r="K9" s="437"/>
      <c r="L9" s="422"/>
      <c r="M9" s="422"/>
    </row>
    <row r="10" spans="1:13" ht="11.25" customHeight="1">
      <c r="A10" s="442"/>
      <c r="B10" s="437"/>
      <c r="C10" s="437"/>
      <c r="D10" s="437"/>
      <c r="E10" s="437"/>
      <c r="F10" s="421" t="s">
        <v>641</v>
      </c>
      <c r="G10" s="422"/>
      <c r="H10" s="422"/>
      <c r="I10" s="422"/>
      <c r="J10" s="422"/>
      <c r="K10" s="437"/>
      <c r="L10" s="422"/>
      <c r="M10" s="422"/>
    </row>
    <row r="11" spans="1:13" ht="8.25" customHeight="1">
      <c r="A11" s="443"/>
      <c r="B11" s="438"/>
      <c r="C11" s="438"/>
      <c r="D11" s="438"/>
      <c r="E11" s="438"/>
      <c r="F11" s="423"/>
      <c r="G11" s="423"/>
      <c r="H11" s="423"/>
      <c r="I11" s="423"/>
      <c r="J11" s="423"/>
      <c r="K11" s="438"/>
      <c r="L11" s="423"/>
      <c r="M11" s="423"/>
    </row>
    <row r="12" spans="1:13" ht="11.25" customHeight="1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</row>
    <row r="13" spans="1:13" ht="33.75">
      <c r="A13" s="300" t="s">
        <v>642</v>
      </c>
      <c r="B13" s="301">
        <f>2639528819.61</f>
        <v>2639528819.61</v>
      </c>
      <c r="C13" s="301">
        <f>2637967882.11</f>
        <v>2637967882.11</v>
      </c>
      <c r="D13" s="301">
        <f>156617452.63</f>
        <v>156617452.63</v>
      </c>
      <c r="E13" s="301">
        <f>75047182.46</f>
        <v>75047182.46</v>
      </c>
      <c r="F13" s="301">
        <f>41549280.29</f>
        <v>41549280.29</v>
      </c>
      <c r="G13" s="301">
        <f>80135574.93</f>
        <v>80135574.93</v>
      </c>
      <c r="H13" s="301">
        <f>1434695.24</f>
        <v>1434695.24</v>
      </c>
      <c r="I13" s="301">
        <f>0</f>
        <v>0</v>
      </c>
      <c r="J13" s="301">
        <f>2419655214.81</f>
        <v>2419655214.81</v>
      </c>
      <c r="K13" s="301">
        <f>1560937.5</f>
        <v>1560937.5</v>
      </c>
      <c r="L13" s="301">
        <f>0</f>
        <v>0</v>
      </c>
      <c r="M13" s="301">
        <f>1560937.5</f>
        <v>1560937.5</v>
      </c>
    </row>
    <row r="14" spans="1:13" ht="21.75" customHeight="1">
      <c r="A14" s="302" t="s">
        <v>643</v>
      </c>
      <c r="B14" s="301">
        <f>486130000</f>
        <v>486130000</v>
      </c>
      <c r="C14" s="301">
        <f>486130000</f>
        <v>486130000</v>
      </c>
      <c r="D14" s="301">
        <f>5000000</f>
        <v>5000000</v>
      </c>
      <c r="E14" s="301">
        <f>0</f>
        <v>0</v>
      </c>
      <c r="F14" s="301">
        <f>0</f>
        <v>0</v>
      </c>
      <c r="G14" s="301">
        <f>5000000</f>
        <v>5000000</v>
      </c>
      <c r="H14" s="301">
        <f>0</f>
        <v>0</v>
      </c>
      <c r="I14" s="301">
        <f>0</f>
        <v>0</v>
      </c>
      <c r="J14" s="301">
        <f>458230000</f>
        <v>458230000</v>
      </c>
      <c r="K14" s="301">
        <f>0</f>
        <v>0</v>
      </c>
      <c r="L14" s="301">
        <f>0</f>
        <v>0</v>
      </c>
      <c r="M14" s="301">
        <f>0</f>
        <v>0</v>
      </c>
    </row>
    <row r="15" spans="1:13" ht="13.5" customHeight="1">
      <c r="A15" s="303" t="s">
        <v>644</v>
      </c>
      <c r="B15" s="301">
        <f>476630000</f>
        <v>476630000</v>
      </c>
      <c r="C15" s="301">
        <f>476630000</f>
        <v>476630000</v>
      </c>
      <c r="D15" s="301">
        <f>5000000</f>
        <v>5000000</v>
      </c>
      <c r="E15" s="301">
        <f>0</f>
        <v>0</v>
      </c>
      <c r="F15" s="301">
        <f>0</f>
        <v>0</v>
      </c>
      <c r="G15" s="301">
        <f>5000000</f>
        <v>5000000</v>
      </c>
      <c r="H15" s="301">
        <f>0</f>
        <v>0</v>
      </c>
      <c r="I15" s="301">
        <f>0</f>
        <v>0</v>
      </c>
      <c r="J15" s="301">
        <f>448730000</f>
        <v>448730000</v>
      </c>
      <c r="K15" s="301">
        <f>0</f>
        <v>0</v>
      </c>
      <c r="L15" s="301">
        <f>0</f>
        <v>0</v>
      </c>
      <c r="M15" s="301">
        <f>0</f>
        <v>0</v>
      </c>
    </row>
    <row r="16" spans="1:13" ht="22.5">
      <c r="A16" s="302" t="s">
        <v>645</v>
      </c>
      <c r="B16" s="301">
        <f>2147388767.2</f>
        <v>2147388767.2</v>
      </c>
      <c r="C16" s="301">
        <f>2145827829.7</f>
        <v>2145827829.7</v>
      </c>
      <c r="D16" s="301">
        <f>149924184.78</f>
        <v>149924184.78</v>
      </c>
      <c r="E16" s="301">
        <f>74515105.73</f>
        <v>74515105.73</v>
      </c>
      <c r="F16" s="301">
        <f>41514855.53</f>
        <v>41514855.53</v>
      </c>
      <c r="G16" s="301">
        <f>74590130.65</f>
        <v>74590130.65</v>
      </c>
      <c r="H16" s="301">
        <f>818948.4</f>
        <v>818948.4</v>
      </c>
      <c r="I16" s="301">
        <f>0</f>
        <v>0</v>
      </c>
      <c r="J16" s="301">
        <f>1961425214.81</f>
        <v>1961425214.81</v>
      </c>
      <c r="K16" s="301">
        <f>1560937.5</f>
        <v>1560937.5</v>
      </c>
      <c r="L16" s="301">
        <f>0</f>
        <v>0</v>
      </c>
      <c r="M16" s="301">
        <f>1560937.5</f>
        <v>1560937.5</v>
      </c>
    </row>
    <row r="17" spans="1:13" ht="13.5" customHeight="1">
      <c r="A17" s="303" t="s">
        <v>644</v>
      </c>
      <c r="B17" s="301">
        <f>2082222508.83</f>
        <v>2082222508.83</v>
      </c>
      <c r="C17" s="301">
        <f>2080661571.33</f>
        <v>2080661571.33</v>
      </c>
      <c r="D17" s="301">
        <f>116815693.8</f>
        <v>116815693.8</v>
      </c>
      <c r="E17" s="301">
        <f>46322157.76</f>
        <v>46322157.76</v>
      </c>
      <c r="F17" s="301">
        <f>16403304.58</f>
        <v>16403304.58</v>
      </c>
      <c r="G17" s="301">
        <f>69674587.64</f>
        <v>69674587.64</v>
      </c>
      <c r="H17" s="301">
        <f>818948.4</f>
        <v>818948.4</v>
      </c>
      <c r="I17" s="301">
        <f>0</f>
        <v>0</v>
      </c>
      <c r="J17" s="301">
        <f>1926567477.42</f>
        <v>1926567477.42</v>
      </c>
      <c r="K17" s="301">
        <f>1560937.5</f>
        <v>1560937.5</v>
      </c>
      <c r="L17" s="301">
        <f>0</f>
        <v>0</v>
      </c>
      <c r="M17" s="301">
        <f>1560937.5</f>
        <v>1560937.5</v>
      </c>
    </row>
    <row r="18" spans="1:13" ht="13.5" customHeight="1">
      <c r="A18" s="302" t="s">
        <v>646</v>
      </c>
      <c r="B18" s="301">
        <f>0</f>
        <v>0</v>
      </c>
      <c r="C18" s="301">
        <f>0</f>
        <v>0</v>
      </c>
      <c r="D18" s="301">
        <f>0</f>
        <v>0</v>
      </c>
      <c r="E18" s="301">
        <f>0</f>
        <v>0</v>
      </c>
      <c r="F18" s="301">
        <f>0</f>
        <v>0</v>
      </c>
      <c r="G18" s="301">
        <f>0</f>
        <v>0</v>
      </c>
      <c r="H18" s="301">
        <f>0</f>
        <v>0</v>
      </c>
      <c r="I18" s="301">
        <f>0</f>
        <v>0</v>
      </c>
      <c r="J18" s="301">
        <f>0</f>
        <v>0</v>
      </c>
      <c r="K18" s="301">
        <f>0</f>
        <v>0</v>
      </c>
      <c r="L18" s="301">
        <f>0</f>
        <v>0</v>
      </c>
      <c r="M18" s="301">
        <f>0</f>
        <v>0</v>
      </c>
    </row>
    <row r="19" spans="1:13" ht="21.75" customHeight="1">
      <c r="A19" s="302" t="s">
        <v>647</v>
      </c>
      <c r="B19" s="301">
        <f>6010052.41</f>
        <v>6010052.41</v>
      </c>
      <c r="C19" s="301">
        <f>6010052.41</f>
        <v>6010052.41</v>
      </c>
      <c r="D19" s="301">
        <f>1693267.85</f>
        <v>1693267.85</v>
      </c>
      <c r="E19" s="301">
        <f>532076.73</f>
        <v>532076.73</v>
      </c>
      <c r="F19" s="301">
        <f>34424.76</f>
        <v>34424.76</v>
      </c>
      <c r="G19" s="301">
        <f>545444.28</f>
        <v>545444.28</v>
      </c>
      <c r="H19" s="301">
        <f>615746.84</f>
        <v>615746.84</v>
      </c>
      <c r="I19" s="301">
        <f>0</f>
        <v>0</v>
      </c>
      <c r="J19" s="301">
        <f>0</f>
        <v>0</v>
      </c>
      <c r="K19" s="301">
        <f>0</f>
        <v>0</v>
      </c>
      <c r="L19" s="301">
        <f>0</f>
        <v>0</v>
      </c>
      <c r="M19" s="301">
        <f>0</f>
        <v>0</v>
      </c>
    </row>
    <row r="20" spans="1:13" ht="12.75">
      <c r="A20" s="302" t="s">
        <v>648</v>
      </c>
      <c r="B20" s="301">
        <f>4017388.13</f>
        <v>4017388.13</v>
      </c>
      <c r="C20" s="301">
        <f>4017388.13</f>
        <v>4017388.13</v>
      </c>
      <c r="D20" s="301">
        <f>91777.38</f>
        <v>91777.38</v>
      </c>
      <c r="E20" s="301">
        <f>88215.14</f>
        <v>88215.14</v>
      </c>
      <c r="F20" s="301">
        <f>0</f>
        <v>0</v>
      </c>
      <c r="G20" s="301">
        <f>3562.24</f>
        <v>3562.24</v>
      </c>
      <c r="H20" s="301">
        <f>0</f>
        <v>0</v>
      </c>
      <c r="I20" s="301">
        <f>0</f>
        <v>0</v>
      </c>
      <c r="J20" s="301">
        <f>0</f>
        <v>0</v>
      </c>
      <c r="K20" s="301">
        <f>0</f>
        <v>0</v>
      </c>
      <c r="L20" s="301">
        <f>0</f>
        <v>0</v>
      </c>
      <c r="M20" s="301">
        <f>0</f>
        <v>0</v>
      </c>
    </row>
    <row r="21" ht="5.25" customHeight="1"/>
    <row r="22" spans="1:13" ht="13.5" customHeight="1">
      <c r="A22" s="426" t="s">
        <v>649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ht="5.25" customHeight="1"/>
    <row r="24" spans="1:13" ht="13.5" customHeight="1">
      <c r="A24" s="441" t="s">
        <v>463</v>
      </c>
      <c r="B24" s="436" t="s">
        <v>650</v>
      </c>
      <c r="C24" s="439" t="s">
        <v>651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</row>
    <row r="25" spans="1:13" ht="13.5" customHeight="1">
      <c r="A25" s="442"/>
      <c r="B25" s="437"/>
      <c r="C25" s="444" t="s">
        <v>629</v>
      </c>
      <c r="D25" s="439"/>
      <c r="E25" s="439"/>
      <c r="F25" s="439"/>
      <c r="G25" s="439"/>
      <c r="H25" s="439"/>
      <c r="I25" s="439"/>
      <c r="J25" s="440"/>
      <c r="K25" s="444" t="s">
        <v>630</v>
      </c>
      <c r="L25" s="439"/>
      <c r="M25" s="440"/>
    </row>
    <row r="26" spans="1:13" ht="13.5" customHeight="1">
      <c r="A26" s="442"/>
      <c r="B26" s="437"/>
      <c r="C26" s="436" t="s">
        <v>465</v>
      </c>
      <c r="D26" s="439" t="s">
        <v>652</v>
      </c>
      <c r="E26" s="439"/>
      <c r="F26" s="439"/>
      <c r="G26" s="439"/>
      <c r="H26" s="439"/>
      <c r="I26" s="439"/>
      <c r="J26" s="440"/>
      <c r="K26" s="436" t="s">
        <v>465</v>
      </c>
      <c r="L26" s="439" t="s">
        <v>652</v>
      </c>
      <c r="M26" s="440"/>
    </row>
    <row r="27" spans="1:13" ht="13.5" customHeight="1">
      <c r="A27" s="442"/>
      <c r="B27" s="437"/>
      <c r="C27" s="437"/>
      <c r="D27" s="436" t="s">
        <v>632</v>
      </c>
      <c r="E27" s="440" t="s">
        <v>653</v>
      </c>
      <c r="F27" s="425"/>
      <c r="G27" s="425"/>
      <c r="H27" s="425"/>
      <c r="I27" s="421" t="s">
        <v>634</v>
      </c>
      <c r="J27" s="421" t="s">
        <v>635</v>
      </c>
      <c r="K27" s="437"/>
      <c r="L27" s="421" t="s">
        <v>636</v>
      </c>
      <c r="M27" s="421" t="s">
        <v>637</v>
      </c>
    </row>
    <row r="28" spans="1:13" ht="13.5" customHeight="1">
      <c r="A28" s="442"/>
      <c r="B28" s="437"/>
      <c r="C28" s="437"/>
      <c r="D28" s="437"/>
      <c r="E28" s="436" t="s">
        <v>638</v>
      </c>
      <c r="F28" s="298" t="s">
        <v>652</v>
      </c>
      <c r="G28" s="421" t="s">
        <v>639</v>
      </c>
      <c r="H28" s="421" t="s">
        <v>640</v>
      </c>
      <c r="I28" s="422"/>
      <c r="J28" s="422"/>
      <c r="K28" s="437"/>
      <c r="L28" s="422"/>
      <c r="M28" s="422"/>
    </row>
    <row r="29" spans="1:13" ht="11.25" customHeight="1">
      <c r="A29" s="442"/>
      <c r="B29" s="437"/>
      <c r="C29" s="437"/>
      <c r="D29" s="437"/>
      <c r="E29" s="437"/>
      <c r="F29" s="421" t="s">
        <v>641</v>
      </c>
      <c r="G29" s="422"/>
      <c r="H29" s="422"/>
      <c r="I29" s="422"/>
      <c r="J29" s="422"/>
      <c r="K29" s="437"/>
      <c r="L29" s="422"/>
      <c r="M29" s="422"/>
    </row>
    <row r="30" spans="1:13" ht="11.25" customHeight="1">
      <c r="A30" s="443"/>
      <c r="B30" s="438"/>
      <c r="C30" s="438"/>
      <c r="D30" s="438"/>
      <c r="E30" s="438"/>
      <c r="F30" s="423"/>
      <c r="G30" s="423"/>
      <c r="H30" s="423"/>
      <c r="I30" s="423"/>
      <c r="J30" s="423"/>
      <c r="K30" s="438"/>
      <c r="L30" s="423"/>
      <c r="M30" s="423"/>
    </row>
    <row r="31" spans="1:13" ht="10.5" customHeight="1">
      <c r="A31" s="299">
        <v>1</v>
      </c>
      <c r="B31" s="299">
        <v>2</v>
      </c>
      <c r="C31" s="299">
        <v>3</v>
      </c>
      <c r="D31" s="299">
        <v>4</v>
      </c>
      <c r="E31" s="299">
        <v>5</v>
      </c>
      <c r="F31" s="299">
        <v>6</v>
      </c>
      <c r="G31" s="299">
        <v>7</v>
      </c>
      <c r="H31" s="299">
        <v>8</v>
      </c>
      <c r="I31" s="299">
        <v>9</v>
      </c>
      <c r="J31" s="299">
        <v>10</v>
      </c>
      <c r="K31" s="299">
        <v>11</v>
      </c>
      <c r="L31" s="299">
        <v>12</v>
      </c>
      <c r="M31" s="299">
        <v>13</v>
      </c>
    </row>
    <row r="32" spans="1:13" ht="25.5" customHeight="1">
      <c r="A32" s="300" t="s">
        <v>654</v>
      </c>
      <c r="B32" s="304">
        <f>188617707.01</f>
        <v>188617707.01</v>
      </c>
      <c r="C32" s="304">
        <f>188591698.78</f>
        <v>188591698.78</v>
      </c>
      <c r="D32" s="304">
        <f>124122449.45</f>
        <v>124122449.45</v>
      </c>
      <c r="E32" s="304">
        <f>465204.48</f>
        <v>465204.48</v>
      </c>
      <c r="F32" s="304">
        <f>350120.76</f>
        <v>350120.76</v>
      </c>
      <c r="G32" s="304">
        <f>123631180.05</f>
        <v>123631180.05</v>
      </c>
      <c r="H32" s="304">
        <f>26064.92</f>
        <v>26064.92</v>
      </c>
      <c r="I32" s="304">
        <f>0</f>
        <v>0</v>
      </c>
      <c r="J32" s="304">
        <f>2468700.98</f>
        <v>2468700.98</v>
      </c>
      <c r="K32" s="304">
        <f>26008.23</f>
        <v>26008.23</v>
      </c>
      <c r="L32" s="304">
        <f>0</f>
        <v>0</v>
      </c>
      <c r="M32" s="304">
        <f>0</f>
        <v>0</v>
      </c>
    </row>
    <row r="33" spans="1:13" ht="22.5" customHeight="1">
      <c r="A33" s="302" t="s">
        <v>643</v>
      </c>
      <c r="B33" s="304">
        <f>100000</f>
        <v>100000</v>
      </c>
      <c r="C33" s="304">
        <f>100000</f>
        <v>100000</v>
      </c>
      <c r="D33" s="304">
        <f>0</f>
        <v>0</v>
      </c>
      <c r="E33" s="304">
        <f>0</f>
        <v>0</v>
      </c>
      <c r="F33" s="304">
        <f>0</f>
        <v>0</v>
      </c>
      <c r="G33" s="304">
        <f>0</f>
        <v>0</v>
      </c>
      <c r="H33" s="304">
        <f>0</f>
        <v>0</v>
      </c>
      <c r="I33" s="304">
        <f>0</f>
        <v>0</v>
      </c>
      <c r="J33" s="304">
        <f>0</f>
        <v>0</v>
      </c>
      <c r="K33" s="304">
        <f>0</f>
        <v>0</v>
      </c>
      <c r="L33" s="304">
        <f>0</f>
        <v>0</v>
      </c>
      <c r="M33" s="304">
        <f>0</f>
        <v>0</v>
      </c>
    </row>
    <row r="34" spans="1:13" ht="13.5" customHeight="1">
      <c r="A34" s="303" t="s">
        <v>644</v>
      </c>
      <c r="B34" s="304">
        <f>100000</f>
        <v>100000</v>
      </c>
      <c r="C34" s="304">
        <f>100000</f>
        <v>100000</v>
      </c>
      <c r="D34" s="304">
        <f>0</f>
        <v>0</v>
      </c>
      <c r="E34" s="304">
        <f>0</f>
        <v>0</v>
      </c>
      <c r="F34" s="304">
        <f>0</f>
        <v>0</v>
      </c>
      <c r="G34" s="304">
        <f>0</f>
        <v>0</v>
      </c>
      <c r="H34" s="304">
        <f>0</f>
        <v>0</v>
      </c>
      <c r="I34" s="304">
        <f>0</f>
        <v>0</v>
      </c>
      <c r="J34" s="304">
        <f>0</f>
        <v>0</v>
      </c>
      <c r="K34" s="304">
        <f>0</f>
        <v>0</v>
      </c>
      <c r="L34" s="304">
        <f>0</f>
        <v>0</v>
      </c>
      <c r="M34" s="304">
        <f>0</f>
        <v>0</v>
      </c>
    </row>
    <row r="35" spans="1:13" ht="21.75" customHeight="1">
      <c r="A35" s="302" t="s">
        <v>645</v>
      </c>
      <c r="B35" s="304">
        <f>108400581.11</f>
        <v>108400581.11</v>
      </c>
      <c r="C35" s="304">
        <f>108400581.11</f>
        <v>108400581.11</v>
      </c>
      <c r="D35" s="304">
        <f>105011810.82</f>
        <v>105011810.82</v>
      </c>
      <c r="E35" s="304">
        <f>0</f>
        <v>0</v>
      </c>
      <c r="F35" s="304">
        <f>0</f>
        <v>0</v>
      </c>
      <c r="G35" s="304">
        <f>105011810.82</f>
        <v>105011810.82</v>
      </c>
      <c r="H35" s="304">
        <f>0</f>
        <v>0</v>
      </c>
      <c r="I35" s="304">
        <f>0</f>
        <v>0</v>
      </c>
      <c r="J35" s="304">
        <f>0</f>
        <v>0</v>
      </c>
      <c r="K35" s="304">
        <f>0</f>
        <v>0</v>
      </c>
      <c r="L35" s="304">
        <f>0</f>
        <v>0</v>
      </c>
      <c r="M35" s="304">
        <f>0</f>
        <v>0</v>
      </c>
    </row>
    <row r="36" spans="1:13" ht="13.5" customHeight="1">
      <c r="A36" s="303" t="s">
        <v>644</v>
      </c>
      <c r="B36" s="304">
        <f>95843217.6</f>
        <v>95843217.6</v>
      </c>
      <c r="C36" s="304">
        <f>95843217.6</f>
        <v>95843217.6</v>
      </c>
      <c r="D36" s="304">
        <f>93269081.81</f>
        <v>93269081.81</v>
      </c>
      <c r="E36" s="304">
        <f>0</f>
        <v>0</v>
      </c>
      <c r="F36" s="304">
        <f>0</f>
        <v>0</v>
      </c>
      <c r="G36" s="304">
        <f>93269081.81</f>
        <v>93269081.81</v>
      </c>
      <c r="H36" s="304">
        <f>0</f>
        <v>0</v>
      </c>
      <c r="I36" s="304">
        <f>0</f>
        <v>0</v>
      </c>
      <c r="J36" s="304">
        <f>0</f>
        <v>0</v>
      </c>
      <c r="K36" s="304">
        <f>0</f>
        <v>0</v>
      </c>
      <c r="L36" s="304">
        <f>0</f>
        <v>0</v>
      </c>
      <c r="M36" s="304">
        <f>0</f>
        <v>0</v>
      </c>
    </row>
    <row r="37" spans="1:13" ht="13.5" customHeight="1">
      <c r="A37" s="302" t="s">
        <v>655</v>
      </c>
      <c r="B37" s="304">
        <f>5975254.73</f>
        <v>5975254.73</v>
      </c>
      <c r="C37" s="304">
        <f>5975254.73</f>
        <v>5975254.73</v>
      </c>
      <c r="D37" s="304">
        <f>20680</f>
        <v>20680</v>
      </c>
      <c r="E37" s="304">
        <f>20680</f>
        <v>20680</v>
      </c>
      <c r="F37" s="304">
        <f>0</f>
        <v>0</v>
      </c>
      <c r="G37" s="304">
        <f>0</f>
        <v>0</v>
      </c>
      <c r="H37" s="304">
        <f>0</f>
        <v>0</v>
      </c>
      <c r="I37" s="304">
        <f>0</f>
        <v>0</v>
      </c>
      <c r="J37" s="304">
        <f>2426776.16</f>
        <v>2426776.16</v>
      </c>
      <c r="K37" s="304">
        <f>0</f>
        <v>0</v>
      </c>
      <c r="L37" s="304">
        <f>0</f>
        <v>0</v>
      </c>
      <c r="M37" s="304">
        <f>0</f>
        <v>0</v>
      </c>
    </row>
    <row r="38" spans="1:13" ht="24.75" customHeight="1">
      <c r="A38" s="302" t="s">
        <v>656</v>
      </c>
      <c r="B38" s="304">
        <f>74141871.17</f>
        <v>74141871.17</v>
      </c>
      <c r="C38" s="304">
        <f>74115862.94</f>
        <v>74115862.94</v>
      </c>
      <c r="D38" s="304">
        <f>19089958.63</f>
        <v>19089958.63</v>
      </c>
      <c r="E38" s="304">
        <f>444524.48</f>
        <v>444524.48</v>
      </c>
      <c r="F38" s="304">
        <f>350120.76</f>
        <v>350120.76</v>
      </c>
      <c r="G38" s="304">
        <f>18619369.23</f>
        <v>18619369.23</v>
      </c>
      <c r="H38" s="304">
        <f>26064.92</f>
        <v>26064.92</v>
      </c>
      <c r="I38" s="304">
        <f>0</f>
        <v>0</v>
      </c>
      <c r="J38" s="304">
        <f>41924.82</f>
        <v>41924.82</v>
      </c>
      <c r="K38" s="304">
        <f>26008.23</f>
        <v>26008.23</v>
      </c>
      <c r="L38" s="304">
        <f>0</f>
        <v>0</v>
      </c>
      <c r="M38" s="304">
        <f>0</f>
        <v>0</v>
      </c>
    </row>
    <row r="39" spans="1:13" ht="13.5" customHeight="1">
      <c r="A39" s="302" t="s">
        <v>669</v>
      </c>
      <c r="B39" s="304">
        <f>39340245.17</f>
        <v>39340245.17</v>
      </c>
      <c r="C39" s="304">
        <f>39314236.94</f>
        <v>39314236.94</v>
      </c>
      <c r="D39" s="304">
        <f>6819566.69</f>
        <v>6819566.69</v>
      </c>
      <c r="E39" s="304">
        <f>115362.72</f>
        <v>115362.72</v>
      </c>
      <c r="F39" s="304">
        <f>29852.75</f>
        <v>29852.75</v>
      </c>
      <c r="G39" s="304">
        <f>6702499.48</f>
        <v>6702499.48</v>
      </c>
      <c r="H39" s="304">
        <f>1704.49</f>
        <v>1704.49</v>
      </c>
      <c r="I39" s="304">
        <f>0</f>
        <v>0</v>
      </c>
      <c r="J39" s="304">
        <f>53.52</f>
        <v>53.52</v>
      </c>
      <c r="K39" s="304">
        <f>26008.23</f>
        <v>26008.23</v>
      </c>
      <c r="L39" s="304">
        <f>0</f>
        <v>0</v>
      </c>
      <c r="M39" s="304">
        <f>0</f>
        <v>0</v>
      </c>
    </row>
    <row r="40" spans="1:13" ht="13.5" customHeight="1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</row>
    <row r="41" spans="2:13" ht="13.5" customHeight="1">
      <c r="B41" s="426" t="s">
        <v>657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</row>
    <row r="43" spans="2:11" ht="13.5" customHeight="1">
      <c r="B43" s="427" t="s">
        <v>463</v>
      </c>
      <c r="C43" s="428"/>
      <c r="D43" s="428"/>
      <c r="E43" s="429"/>
      <c r="F43" s="436" t="s">
        <v>465</v>
      </c>
      <c r="G43" s="439" t="s">
        <v>631</v>
      </c>
      <c r="H43" s="439"/>
      <c r="I43" s="439"/>
      <c r="J43" s="439"/>
      <c r="K43" s="440"/>
    </row>
    <row r="44" spans="2:11" ht="13.5" customHeight="1">
      <c r="B44" s="430"/>
      <c r="C44" s="431"/>
      <c r="D44" s="431"/>
      <c r="E44" s="432"/>
      <c r="F44" s="437"/>
      <c r="G44" s="436" t="s">
        <v>658</v>
      </c>
      <c r="H44" s="439" t="s">
        <v>633</v>
      </c>
      <c r="I44" s="439"/>
      <c r="J44" s="439"/>
      <c r="K44" s="440"/>
    </row>
    <row r="45" spans="2:11" ht="13.5" customHeight="1">
      <c r="B45" s="430"/>
      <c r="C45" s="431"/>
      <c r="D45" s="431"/>
      <c r="E45" s="432"/>
      <c r="F45" s="437"/>
      <c r="G45" s="437"/>
      <c r="H45" s="436" t="s">
        <v>638</v>
      </c>
      <c r="I45" s="298" t="s">
        <v>631</v>
      </c>
      <c r="J45" s="421" t="s">
        <v>639</v>
      </c>
      <c r="K45" s="421" t="s">
        <v>640</v>
      </c>
    </row>
    <row r="46" spans="2:11" ht="11.25" customHeight="1">
      <c r="B46" s="430"/>
      <c r="C46" s="431"/>
      <c r="D46" s="431"/>
      <c r="E46" s="432"/>
      <c r="F46" s="437"/>
      <c r="G46" s="437"/>
      <c r="H46" s="437"/>
      <c r="I46" s="421" t="s">
        <v>641</v>
      </c>
      <c r="J46" s="422"/>
      <c r="K46" s="422"/>
    </row>
    <row r="47" spans="2:11" ht="11.25" customHeight="1">
      <c r="B47" s="433"/>
      <c r="C47" s="434"/>
      <c r="D47" s="434"/>
      <c r="E47" s="435"/>
      <c r="F47" s="438"/>
      <c r="G47" s="438"/>
      <c r="H47" s="438"/>
      <c r="I47" s="423"/>
      <c r="J47" s="423"/>
      <c r="K47" s="423"/>
    </row>
    <row r="48" spans="2:11" ht="13.5" customHeight="1">
      <c r="B48" s="425">
        <v>1</v>
      </c>
      <c r="C48" s="425"/>
      <c r="D48" s="425"/>
      <c r="E48" s="425"/>
      <c r="F48" s="299">
        <v>2</v>
      </c>
      <c r="G48" s="299">
        <v>3</v>
      </c>
      <c r="H48" s="299">
        <v>4</v>
      </c>
      <c r="I48" s="299">
        <v>5</v>
      </c>
      <c r="J48" s="299">
        <v>6</v>
      </c>
      <c r="K48" s="299">
        <v>7</v>
      </c>
    </row>
    <row r="49" spans="2:11" ht="33.75" customHeight="1">
      <c r="B49" s="424" t="s">
        <v>659</v>
      </c>
      <c r="C49" s="424"/>
      <c r="D49" s="424"/>
      <c r="E49" s="424"/>
      <c r="F49" s="301">
        <f>1027348079.64</f>
        <v>1027348079.64</v>
      </c>
      <c r="G49" s="301">
        <f>759467789.29</f>
        <v>759467789.29</v>
      </c>
      <c r="H49" s="301">
        <f>26062435.94</f>
        <v>26062435.94</v>
      </c>
      <c r="I49" s="301">
        <f>6745053</f>
        <v>6745053</v>
      </c>
      <c r="J49" s="301">
        <f>705478627.1</f>
        <v>705478627.1</v>
      </c>
      <c r="K49" s="301">
        <f>27926726.25</f>
        <v>27926726.25</v>
      </c>
    </row>
    <row r="50" spans="2:11" ht="33.75" customHeight="1">
      <c r="B50" s="424" t="s">
        <v>660</v>
      </c>
      <c r="C50" s="424"/>
      <c r="D50" s="424"/>
      <c r="E50" s="424"/>
      <c r="F50" s="301">
        <f>51820251.83</f>
        <v>51820251.83</v>
      </c>
      <c r="G50" s="301">
        <f>43416750.93</f>
        <v>43416750.93</v>
      </c>
      <c r="H50" s="301">
        <f>2837827.09</f>
        <v>2837827.09</v>
      </c>
      <c r="I50" s="301">
        <f>877550.78</f>
        <v>877550.78</v>
      </c>
      <c r="J50" s="301">
        <f>39076151.84</f>
        <v>39076151.84</v>
      </c>
      <c r="K50" s="301">
        <f>1502772</f>
        <v>1502772</v>
      </c>
    </row>
    <row r="51" spans="2:11" ht="33.75" customHeight="1">
      <c r="B51" s="424" t="s">
        <v>661</v>
      </c>
      <c r="C51" s="424"/>
      <c r="D51" s="424"/>
      <c r="E51" s="424"/>
      <c r="F51" s="301">
        <f>1760034.83</f>
        <v>1760034.83</v>
      </c>
      <c r="G51" s="301">
        <f>1760034.83</f>
        <v>1760034.83</v>
      </c>
      <c r="H51" s="301">
        <f>0</f>
        <v>0</v>
      </c>
      <c r="I51" s="301">
        <f>0</f>
        <v>0</v>
      </c>
      <c r="J51" s="301">
        <f>1760034.83</f>
        <v>1760034.83</v>
      </c>
      <c r="K51" s="301">
        <f>0</f>
        <v>0</v>
      </c>
    </row>
    <row r="52" spans="2:11" ht="22.5" customHeight="1">
      <c r="B52" s="424" t="s">
        <v>662</v>
      </c>
      <c r="C52" s="424"/>
      <c r="D52" s="424"/>
      <c r="E52" s="424"/>
      <c r="F52" s="301">
        <f>34636750.98</f>
        <v>34636750.98</v>
      </c>
      <c r="G52" s="301">
        <f>30353981.19</f>
        <v>30353981.19</v>
      </c>
      <c r="H52" s="301">
        <f>0</f>
        <v>0</v>
      </c>
      <c r="I52" s="301">
        <f>0</f>
        <v>0</v>
      </c>
      <c r="J52" s="301">
        <f>25977350.88</f>
        <v>25977350.88</v>
      </c>
      <c r="K52" s="301">
        <f>4376630.31</f>
        <v>4376630.31</v>
      </c>
    </row>
    <row r="53" spans="2:11" ht="33.75" customHeight="1">
      <c r="B53" s="424" t="s">
        <v>663</v>
      </c>
      <c r="C53" s="424"/>
      <c r="D53" s="424"/>
      <c r="E53" s="424"/>
      <c r="F53" s="301">
        <f>20847149.35</f>
        <v>20847149.35</v>
      </c>
      <c r="G53" s="301">
        <f>17512343.46</f>
        <v>17512343.46</v>
      </c>
      <c r="H53" s="301">
        <f>700836.78</f>
        <v>700836.78</v>
      </c>
      <c r="I53" s="301">
        <f>700836.78</f>
        <v>700836.78</v>
      </c>
      <c r="J53" s="301">
        <f>16277549.32</f>
        <v>16277549.32</v>
      </c>
      <c r="K53" s="301">
        <f>533957.36</f>
        <v>533957.36</v>
      </c>
    </row>
    <row r="54" spans="2:11" ht="33.75" customHeight="1">
      <c r="B54" s="424" t="s">
        <v>664</v>
      </c>
      <c r="C54" s="424"/>
      <c r="D54" s="424"/>
      <c r="E54" s="424"/>
      <c r="F54" s="301">
        <f>3867877.26</f>
        <v>3867877.26</v>
      </c>
      <c r="G54" s="301">
        <f>3867877.26</f>
        <v>3867877.26</v>
      </c>
      <c r="H54" s="301">
        <f>0</f>
        <v>0</v>
      </c>
      <c r="I54" s="301">
        <f>0</f>
        <v>0</v>
      </c>
      <c r="J54" s="301">
        <f>3867877.26</f>
        <v>3867877.26</v>
      </c>
      <c r="K54" s="301">
        <f>0</f>
        <v>0</v>
      </c>
    </row>
    <row r="55" spans="2:11" ht="22.5" customHeight="1">
      <c r="B55" s="424" t="s">
        <v>665</v>
      </c>
      <c r="C55" s="424"/>
      <c r="D55" s="424"/>
      <c r="E55" s="424"/>
      <c r="F55" s="301">
        <f>332524366.2</f>
        <v>332524366.2</v>
      </c>
      <c r="G55" s="301">
        <f>228285725.82</f>
        <v>228285725.82</v>
      </c>
      <c r="H55" s="301">
        <f>84500</f>
        <v>84500</v>
      </c>
      <c r="I55" s="301">
        <f>0</f>
        <v>0</v>
      </c>
      <c r="J55" s="301">
        <f>227948453.82</f>
        <v>227948453.82</v>
      </c>
      <c r="K55" s="301">
        <f>252772</f>
        <v>252772</v>
      </c>
    </row>
  </sheetData>
  <mergeCells count="59">
    <mergeCell ref="A1:M1"/>
    <mergeCell ref="B52:E52"/>
    <mergeCell ref="B53:E53"/>
    <mergeCell ref="B54:E54"/>
    <mergeCell ref="B43:E47"/>
    <mergeCell ref="F43:F47"/>
    <mergeCell ref="G43:K43"/>
    <mergeCell ref="G44:G47"/>
    <mergeCell ref="H44:K44"/>
    <mergeCell ref="H45:H47"/>
    <mergeCell ref="B55:E55"/>
    <mergeCell ref="B48:E48"/>
    <mergeCell ref="B49:E49"/>
    <mergeCell ref="B50:E50"/>
    <mergeCell ref="B51:E51"/>
    <mergeCell ref="J45:J47"/>
    <mergeCell ref="K45:K47"/>
    <mergeCell ref="I46:I47"/>
    <mergeCell ref="H28:H30"/>
    <mergeCell ref="F29:F30"/>
    <mergeCell ref="B41:M41"/>
    <mergeCell ref="K26:K30"/>
    <mergeCell ref="L26:M26"/>
    <mergeCell ref="D27:D30"/>
    <mergeCell ref="E27:H27"/>
    <mergeCell ref="I27:I30"/>
    <mergeCell ref="J27:J30"/>
    <mergeCell ref="L27:L30"/>
    <mergeCell ref="M27:M30"/>
    <mergeCell ref="E28:E30"/>
    <mergeCell ref="G28:G30"/>
    <mergeCell ref="F10:F11"/>
    <mergeCell ref="A22:M22"/>
    <mergeCell ref="A24:A30"/>
    <mergeCell ref="B24:B30"/>
    <mergeCell ref="C24:M24"/>
    <mergeCell ref="C25:J25"/>
    <mergeCell ref="K25:M25"/>
    <mergeCell ref="C26:C30"/>
    <mergeCell ref="D26:J26"/>
    <mergeCell ref="L7:M7"/>
    <mergeCell ref="D8:D11"/>
    <mergeCell ref="E8:H8"/>
    <mergeCell ref="I8:I11"/>
    <mergeCell ref="J8:J11"/>
    <mergeCell ref="L8:L11"/>
    <mergeCell ref="M8:M11"/>
    <mergeCell ref="E9:E11"/>
    <mergeCell ref="G9:G11"/>
    <mergeCell ref="H9:H11"/>
    <mergeCell ref="A3:M3"/>
    <mergeCell ref="A5:A11"/>
    <mergeCell ref="B5:B11"/>
    <mergeCell ref="C5:M5"/>
    <mergeCell ref="C6:J6"/>
    <mergeCell ref="K6:M6"/>
    <mergeCell ref="C7:C11"/>
    <mergeCell ref="D7:J7"/>
    <mergeCell ref="K7:K11"/>
  </mergeCells>
  <printOptions horizontalCentered="1"/>
  <pageMargins left="0.2362204724409449" right="0.15748031496062992" top="0.4724409448818898" bottom="0.4724409448818898" header="0.5118110236220472" footer="0.3937007874015748"/>
  <pageSetup firstPageNumber="4" useFirstPageNumber="1" horizontalDpi="1200" verticalDpi="1200" orientation="landscape" paperSize="9" scale="95" r:id="rId1"/>
  <headerFooter alignWithMargins="0">
    <oddFooter>&amp;RStrona &amp;P z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showGridLines="0" workbookViewId="0" topLeftCell="A1">
      <pane ySplit="7" topLeftCell="BM8" activePane="bottomLeft" state="frozen"/>
      <selection pane="topLeft" activeCell="A1" sqref="A1:M1"/>
      <selection pane="bottomLeft" activeCell="A8" sqref="A8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19.57421875" style="1" customWidth="1"/>
    <col min="4" max="4" width="10.140625" style="1" customWidth="1"/>
    <col min="5" max="5" width="16.8515625" style="1" bestFit="1" customWidth="1"/>
    <col min="6" max="6" width="16.421875" style="1" bestFit="1" customWidth="1"/>
    <col min="7" max="7" width="15.00390625" style="1" customWidth="1"/>
    <col min="8" max="8" width="16.57421875" style="1" customWidth="1"/>
    <col min="9" max="9" width="14.00390625" style="1" customWidth="1"/>
    <col min="10" max="10" width="12.57421875" style="1" customWidth="1"/>
    <col min="11" max="11" width="13.421875" style="1" customWidth="1"/>
    <col min="12" max="13" width="6.421875" style="1" bestFit="1" customWidth="1"/>
    <col min="14" max="16384" width="8.8515625" style="1" customWidth="1"/>
  </cols>
  <sheetData>
    <row r="1" spans="1:13" ht="15.75" customHeight="1">
      <c r="A1" s="464" t="s">
        <v>502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20.2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2" ht="13.5" thickBot="1">
      <c r="A3" s="2"/>
      <c r="B3" s="2"/>
    </row>
    <row r="4" spans="1:13" ht="12.75" customHeight="1" thickBot="1">
      <c r="A4" s="472" t="s">
        <v>0</v>
      </c>
      <c r="B4" s="472" t="s">
        <v>47</v>
      </c>
      <c r="C4" s="484" t="s">
        <v>48</v>
      </c>
      <c r="D4" s="452" t="s">
        <v>2</v>
      </c>
      <c r="E4" s="460" t="s">
        <v>494</v>
      </c>
      <c r="F4" s="452" t="s">
        <v>495</v>
      </c>
      <c r="G4" s="453" t="s">
        <v>3</v>
      </c>
      <c r="H4" s="455" t="s">
        <v>4</v>
      </c>
      <c r="I4" s="3" t="s">
        <v>5</v>
      </c>
      <c r="J4" s="452" t="s">
        <v>6</v>
      </c>
      <c r="K4" s="445" t="s">
        <v>7</v>
      </c>
      <c r="L4" s="447" t="s">
        <v>49</v>
      </c>
      <c r="M4" s="447" t="s">
        <v>50</v>
      </c>
    </row>
    <row r="5" spans="1:13" ht="26.25" thickBot="1">
      <c r="A5" s="473"/>
      <c r="B5" s="473"/>
      <c r="C5" s="485"/>
      <c r="D5" s="459"/>
      <c r="E5" s="461"/>
      <c r="F5" s="448"/>
      <c r="G5" s="454"/>
      <c r="H5" s="456"/>
      <c r="I5" s="4" t="s">
        <v>10</v>
      </c>
      <c r="J5" s="448"/>
      <c r="K5" s="446"/>
      <c r="L5" s="448"/>
      <c r="M5" s="448"/>
    </row>
    <row r="6" spans="1:13" ht="13.5" customHeight="1" thickBot="1">
      <c r="A6" s="483"/>
      <c r="B6" s="483"/>
      <c r="C6" s="486"/>
      <c r="D6" s="459"/>
      <c r="E6" s="449" t="s">
        <v>11</v>
      </c>
      <c r="F6" s="449"/>
      <c r="G6" s="449"/>
      <c r="H6" s="449"/>
      <c r="I6" s="449"/>
      <c r="J6" s="449"/>
      <c r="K6" s="449"/>
      <c r="L6" s="450" t="s">
        <v>12</v>
      </c>
      <c r="M6" s="451"/>
    </row>
    <row r="7" spans="1:13" s="10" customFormat="1" ht="12" thickBot="1">
      <c r="A7" s="117">
        <v>1</v>
      </c>
      <c r="B7" s="108">
        <v>2</v>
      </c>
      <c r="C7" s="96">
        <v>3</v>
      </c>
      <c r="D7" s="91">
        <v>4</v>
      </c>
      <c r="E7" s="108">
        <v>5</v>
      </c>
      <c r="F7" s="118">
        <v>6</v>
      </c>
      <c r="G7" s="7">
        <v>7</v>
      </c>
      <c r="H7" s="117">
        <v>8</v>
      </c>
      <c r="I7" s="96">
        <v>9</v>
      </c>
      <c r="J7" s="8">
        <v>10</v>
      </c>
      <c r="K7" s="9">
        <v>11</v>
      </c>
      <c r="L7" s="5">
        <v>12</v>
      </c>
      <c r="M7" s="6">
        <v>13</v>
      </c>
    </row>
    <row r="8" spans="1:13" ht="15" customHeight="1">
      <c r="A8" s="159" t="s">
        <v>13</v>
      </c>
      <c r="B8" s="160" t="s">
        <v>51</v>
      </c>
      <c r="C8" s="164" t="s">
        <v>52</v>
      </c>
      <c r="D8" s="167">
        <v>86503</v>
      </c>
      <c r="E8" s="174">
        <v>307061260.9000001</v>
      </c>
      <c r="F8" s="171">
        <v>315430952.94</v>
      </c>
      <c r="G8" s="177">
        <f aca="true" t="shared" si="0" ref="G8:G39">E8-F8</f>
        <v>-8369692.039999902</v>
      </c>
      <c r="H8" s="178">
        <v>100761194.03</v>
      </c>
      <c r="I8" s="179">
        <v>3104970.35</v>
      </c>
      <c r="J8" s="30">
        <f aca="true" t="shared" si="1" ref="J8:J39">H8/D8</f>
        <v>1164.8288964544583</v>
      </c>
      <c r="K8" s="31">
        <f aca="true" t="shared" si="2" ref="K8:K39">I8/D8</f>
        <v>35.89436609134943</v>
      </c>
      <c r="L8" s="32">
        <f aca="true" t="shared" si="3" ref="L8:L39">H8/E8*100</f>
        <v>32.81468777098999</v>
      </c>
      <c r="M8" s="33">
        <f aca="true" t="shared" si="4" ref="M8:M39">I8/E8*100</f>
        <v>1.0111892138068137</v>
      </c>
    </row>
    <row r="9" spans="1:13" ht="15" customHeight="1">
      <c r="A9" s="161" t="s">
        <v>13</v>
      </c>
      <c r="B9" s="158" t="s">
        <v>53</v>
      </c>
      <c r="C9" s="165" t="s">
        <v>54</v>
      </c>
      <c r="D9" s="168">
        <v>105186</v>
      </c>
      <c r="E9" s="175">
        <v>321579700.3599999</v>
      </c>
      <c r="F9" s="172">
        <v>313911124.88999975</v>
      </c>
      <c r="G9" s="107">
        <f t="shared" si="0"/>
        <v>7668575.470000148</v>
      </c>
      <c r="H9" s="180">
        <v>54806115.31</v>
      </c>
      <c r="I9" s="181">
        <v>0</v>
      </c>
      <c r="J9" s="34">
        <f t="shared" si="1"/>
        <v>521.0400177780314</v>
      </c>
      <c r="K9" s="35">
        <f t="shared" si="2"/>
        <v>0</v>
      </c>
      <c r="L9" s="32">
        <f t="shared" si="3"/>
        <v>17.04277827507334</v>
      </c>
      <c r="M9" s="33">
        <f t="shared" si="4"/>
        <v>0</v>
      </c>
    </row>
    <row r="10" spans="1:13" ht="15" customHeight="1">
      <c r="A10" s="161" t="s">
        <v>13</v>
      </c>
      <c r="B10" s="158" t="s">
        <v>55</v>
      </c>
      <c r="C10" s="165" t="s">
        <v>56</v>
      </c>
      <c r="D10" s="168">
        <v>634630</v>
      </c>
      <c r="E10" s="175">
        <v>2667198918.8700013</v>
      </c>
      <c r="F10" s="172">
        <v>2645877576.8600016</v>
      </c>
      <c r="G10" s="107">
        <f t="shared" si="0"/>
        <v>21321342.009999752</v>
      </c>
      <c r="H10" s="180">
        <v>413343035.8</v>
      </c>
      <c r="I10" s="181">
        <v>34492.88</v>
      </c>
      <c r="J10" s="34">
        <f t="shared" si="1"/>
        <v>651.3134201030522</v>
      </c>
      <c r="K10" s="35">
        <f t="shared" si="2"/>
        <v>0.0543511652458913</v>
      </c>
      <c r="L10" s="32">
        <f t="shared" si="3"/>
        <v>15.497270671327318</v>
      </c>
      <c r="M10" s="33">
        <f t="shared" si="4"/>
        <v>0.001293224879328214</v>
      </c>
    </row>
    <row r="11" spans="1:13" ht="15" customHeight="1">
      <c r="A11" s="161" t="s">
        <v>15</v>
      </c>
      <c r="B11" s="158" t="s">
        <v>51</v>
      </c>
      <c r="C11" s="165" t="s">
        <v>57</v>
      </c>
      <c r="D11" s="168">
        <v>363468</v>
      </c>
      <c r="E11" s="175">
        <v>1092073911.7</v>
      </c>
      <c r="F11" s="172">
        <v>1119297625.2099996</v>
      </c>
      <c r="G11" s="107">
        <f t="shared" si="0"/>
        <v>-27223713.509999514</v>
      </c>
      <c r="H11" s="180">
        <v>356887044.96</v>
      </c>
      <c r="I11" s="181">
        <v>0</v>
      </c>
      <c r="J11" s="34">
        <f t="shared" si="1"/>
        <v>981.8939905576282</v>
      </c>
      <c r="K11" s="35">
        <f t="shared" si="2"/>
        <v>0</v>
      </c>
      <c r="L11" s="32">
        <f t="shared" si="3"/>
        <v>32.67975190474463</v>
      </c>
      <c r="M11" s="33">
        <f t="shared" si="4"/>
        <v>0</v>
      </c>
    </row>
    <row r="12" spans="1:13" ht="15" customHeight="1">
      <c r="A12" s="161" t="s">
        <v>15</v>
      </c>
      <c r="B12" s="158" t="s">
        <v>53</v>
      </c>
      <c r="C12" s="165" t="s">
        <v>58</v>
      </c>
      <c r="D12" s="168">
        <v>99244</v>
      </c>
      <c r="E12" s="175">
        <v>351369958.32000047</v>
      </c>
      <c r="F12" s="172">
        <v>362515106.85000026</v>
      </c>
      <c r="G12" s="107">
        <f t="shared" si="0"/>
        <v>-11145148.529999793</v>
      </c>
      <c r="H12" s="180">
        <v>114902514.09</v>
      </c>
      <c r="I12" s="181">
        <v>0</v>
      </c>
      <c r="J12" s="34">
        <f t="shared" si="1"/>
        <v>1157.777942142598</v>
      </c>
      <c r="K12" s="35">
        <f t="shared" si="2"/>
        <v>0</v>
      </c>
      <c r="L12" s="32">
        <f t="shared" si="3"/>
        <v>32.70129143634861</v>
      </c>
      <c r="M12" s="33">
        <f t="shared" si="4"/>
        <v>0</v>
      </c>
    </row>
    <row r="13" spans="1:13" ht="15" customHeight="1">
      <c r="A13" s="161" t="s">
        <v>15</v>
      </c>
      <c r="B13" s="158" t="s">
        <v>59</v>
      </c>
      <c r="C13" s="165" t="s">
        <v>60</v>
      </c>
      <c r="D13" s="168">
        <v>207190</v>
      </c>
      <c r="E13" s="175">
        <v>688844910.3799996</v>
      </c>
      <c r="F13" s="172">
        <v>676652800.0999995</v>
      </c>
      <c r="G13" s="107">
        <f t="shared" si="0"/>
        <v>12192110.28000009</v>
      </c>
      <c r="H13" s="180">
        <v>314369434.79</v>
      </c>
      <c r="I13" s="181">
        <v>5932266.56</v>
      </c>
      <c r="J13" s="34">
        <f t="shared" si="1"/>
        <v>1517.3002306578503</v>
      </c>
      <c r="K13" s="35">
        <f t="shared" si="2"/>
        <v>28.632011969689653</v>
      </c>
      <c r="L13" s="32">
        <f t="shared" si="3"/>
        <v>45.63718625961523</v>
      </c>
      <c r="M13" s="33">
        <f t="shared" si="4"/>
        <v>0.861190446587967</v>
      </c>
    </row>
    <row r="14" spans="1:13" ht="15" customHeight="1">
      <c r="A14" s="161" t="s">
        <v>15</v>
      </c>
      <c r="B14" s="158" t="s">
        <v>55</v>
      </c>
      <c r="C14" s="165" t="s">
        <v>61</v>
      </c>
      <c r="D14" s="168">
        <v>119256</v>
      </c>
      <c r="E14" s="175">
        <v>380930171.8500003</v>
      </c>
      <c r="F14" s="172">
        <v>379954603.59000015</v>
      </c>
      <c r="G14" s="107">
        <f t="shared" si="0"/>
        <v>975568.2600001693</v>
      </c>
      <c r="H14" s="180">
        <v>154043454.51</v>
      </c>
      <c r="I14" s="181">
        <v>0</v>
      </c>
      <c r="J14" s="34">
        <f t="shared" si="1"/>
        <v>1291.7040191688468</v>
      </c>
      <c r="K14" s="35">
        <f t="shared" si="2"/>
        <v>0</v>
      </c>
      <c r="L14" s="32">
        <f t="shared" si="3"/>
        <v>40.43876434410084</v>
      </c>
      <c r="M14" s="33">
        <f t="shared" si="4"/>
        <v>0</v>
      </c>
    </row>
    <row r="15" spans="1:13" ht="15" customHeight="1">
      <c r="A15" s="161" t="s">
        <v>17</v>
      </c>
      <c r="B15" s="158" t="s">
        <v>51</v>
      </c>
      <c r="C15" s="165" t="s">
        <v>62</v>
      </c>
      <c r="D15" s="168">
        <v>58075</v>
      </c>
      <c r="E15" s="175">
        <v>160804959.6</v>
      </c>
      <c r="F15" s="172">
        <v>179510560.45000002</v>
      </c>
      <c r="G15" s="107">
        <f t="shared" si="0"/>
        <v>-18705600.850000024</v>
      </c>
      <c r="H15" s="180">
        <v>69373425.74</v>
      </c>
      <c r="I15" s="181">
        <v>473425.74</v>
      </c>
      <c r="J15" s="34">
        <f t="shared" si="1"/>
        <v>1194.5488719758932</v>
      </c>
      <c r="K15" s="35">
        <f t="shared" si="2"/>
        <v>8.151971416272062</v>
      </c>
      <c r="L15" s="32">
        <f t="shared" si="3"/>
        <v>43.14134707820293</v>
      </c>
      <c r="M15" s="33">
        <f t="shared" si="4"/>
        <v>0.2944099119689092</v>
      </c>
    </row>
    <row r="16" spans="1:13" ht="15" customHeight="1">
      <c r="A16" s="161" t="s">
        <v>17</v>
      </c>
      <c r="B16" s="158" t="s">
        <v>53</v>
      </c>
      <c r="C16" s="165" t="s">
        <v>63</v>
      </c>
      <c r="D16" s="168">
        <v>67887</v>
      </c>
      <c r="E16" s="175">
        <v>179256422.82</v>
      </c>
      <c r="F16" s="172">
        <v>171902099.66999975</v>
      </c>
      <c r="G16" s="107">
        <f t="shared" si="0"/>
        <v>7354323.150000244</v>
      </c>
      <c r="H16" s="180">
        <v>60872615.22</v>
      </c>
      <c r="I16" s="181">
        <v>561.22</v>
      </c>
      <c r="J16" s="34">
        <f t="shared" si="1"/>
        <v>896.6755817755977</v>
      </c>
      <c r="K16" s="35">
        <f t="shared" si="2"/>
        <v>0.008266973058170195</v>
      </c>
      <c r="L16" s="32">
        <f t="shared" si="3"/>
        <v>33.95840118996747</v>
      </c>
      <c r="M16" s="33">
        <f t="shared" si="4"/>
        <v>0.00031308222666227587</v>
      </c>
    </row>
    <row r="17" spans="1:13" ht="15" customHeight="1">
      <c r="A17" s="161" t="s">
        <v>17</v>
      </c>
      <c r="B17" s="158" t="s">
        <v>59</v>
      </c>
      <c r="C17" s="165" t="s">
        <v>64</v>
      </c>
      <c r="D17" s="168">
        <v>353483</v>
      </c>
      <c r="E17" s="175">
        <v>1011754098.96</v>
      </c>
      <c r="F17" s="172">
        <v>1067197130.8600006</v>
      </c>
      <c r="G17" s="107">
        <f t="shared" si="0"/>
        <v>-55443031.90000057</v>
      </c>
      <c r="H17" s="180">
        <v>239726998.21</v>
      </c>
      <c r="I17" s="181">
        <v>43850.66</v>
      </c>
      <c r="J17" s="34">
        <f t="shared" si="1"/>
        <v>678.1853673585434</v>
      </c>
      <c r="K17" s="35">
        <f t="shared" si="2"/>
        <v>0.12405309449110707</v>
      </c>
      <c r="L17" s="32">
        <f t="shared" si="3"/>
        <v>23.694195897641496</v>
      </c>
      <c r="M17" s="33">
        <f t="shared" si="4"/>
        <v>0.00433412229760916</v>
      </c>
    </row>
    <row r="18" spans="1:13" ht="15" customHeight="1">
      <c r="A18" s="161" t="s">
        <v>17</v>
      </c>
      <c r="B18" s="158" t="s">
        <v>55</v>
      </c>
      <c r="C18" s="165" t="s">
        <v>65</v>
      </c>
      <c r="D18" s="168">
        <v>66507</v>
      </c>
      <c r="E18" s="175">
        <v>223221382.6600001</v>
      </c>
      <c r="F18" s="172">
        <v>223682693.02000013</v>
      </c>
      <c r="G18" s="107">
        <f t="shared" si="0"/>
        <v>-461310.3600000441</v>
      </c>
      <c r="H18" s="180">
        <v>37683141.67</v>
      </c>
      <c r="I18" s="181">
        <v>196730.92</v>
      </c>
      <c r="J18" s="34">
        <f t="shared" si="1"/>
        <v>566.6041419700182</v>
      </c>
      <c r="K18" s="35">
        <f t="shared" si="2"/>
        <v>2.958048325740148</v>
      </c>
      <c r="L18" s="32">
        <f t="shared" si="3"/>
        <v>16.881510732059716</v>
      </c>
      <c r="M18" s="33">
        <f t="shared" si="4"/>
        <v>0.0881326500426041</v>
      </c>
    </row>
    <row r="19" spans="1:13" ht="15" customHeight="1">
      <c r="A19" s="161" t="s">
        <v>19</v>
      </c>
      <c r="B19" s="158" t="s">
        <v>51</v>
      </c>
      <c r="C19" s="165" t="s">
        <v>66</v>
      </c>
      <c r="D19" s="168">
        <v>125504</v>
      </c>
      <c r="E19" s="175">
        <v>409572686.67999977</v>
      </c>
      <c r="F19" s="172">
        <v>364754412.5299996</v>
      </c>
      <c r="G19" s="107">
        <f t="shared" si="0"/>
        <v>44818274.150000155</v>
      </c>
      <c r="H19" s="180">
        <v>65553434.79</v>
      </c>
      <c r="I19" s="181">
        <v>146001.53</v>
      </c>
      <c r="J19" s="34">
        <f t="shared" si="1"/>
        <v>522.3214781202192</v>
      </c>
      <c r="K19" s="35">
        <f t="shared" si="2"/>
        <v>1.1633217267975522</v>
      </c>
      <c r="L19" s="32">
        <f t="shared" si="3"/>
        <v>16.005323822097804</v>
      </c>
      <c r="M19" s="33">
        <f t="shared" si="4"/>
        <v>0.035647281849649166</v>
      </c>
    </row>
    <row r="20" spans="1:13" ht="15" customHeight="1">
      <c r="A20" s="161" t="s">
        <v>19</v>
      </c>
      <c r="B20" s="158" t="s">
        <v>53</v>
      </c>
      <c r="C20" s="165" t="s">
        <v>67</v>
      </c>
      <c r="D20" s="168">
        <v>118115</v>
      </c>
      <c r="E20" s="175">
        <v>429775239.36</v>
      </c>
      <c r="F20" s="172">
        <v>390981442.4799999</v>
      </c>
      <c r="G20" s="107">
        <f t="shared" si="0"/>
        <v>38793796.880000114</v>
      </c>
      <c r="H20" s="180">
        <v>73630378.96</v>
      </c>
      <c r="I20" s="181">
        <v>54041.43</v>
      </c>
      <c r="J20" s="34">
        <f t="shared" si="1"/>
        <v>623.3787322524657</v>
      </c>
      <c r="K20" s="35">
        <f t="shared" si="2"/>
        <v>0.45753232019641876</v>
      </c>
      <c r="L20" s="32">
        <f t="shared" si="3"/>
        <v>17.132298982520886</v>
      </c>
      <c r="M20" s="33">
        <f t="shared" si="4"/>
        <v>0.01257434701926426</v>
      </c>
    </row>
    <row r="21" spans="1:13" ht="15" customHeight="1">
      <c r="A21" s="161" t="s">
        <v>21</v>
      </c>
      <c r="B21" s="158" t="s">
        <v>51</v>
      </c>
      <c r="C21" s="165" t="s">
        <v>68</v>
      </c>
      <c r="D21" s="168">
        <v>760251</v>
      </c>
      <c r="E21" s="175">
        <v>2338376023.35</v>
      </c>
      <c r="F21" s="172">
        <v>2420100932.670002</v>
      </c>
      <c r="G21" s="107">
        <f t="shared" si="0"/>
        <v>-81724909.32000208</v>
      </c>
      <c r="H21" s="180">
        <v>756263694.86</v>
      </c>
      <c r="I21" s="181">
        <v>476900.06</v>
      </c>
      <c r="J21" s="34">
        <f t="shared" si="1"/>
        <v>994.7552780068688</v>
      </c>
      <c r="K21" s="35">
        <f t="shared" si="2"/>
        <v>0.627292907210908</v>
      </c>
      <c r="L21" s="32">
        <f t="shared" si="3"/>
        <v>32.34140648502557</v>
      </c>
      <c r="M21" s="33">
        <f t="shared" si="4"/>
        <v>0.020394498371428916</v>
      </c>
    </row>
    <row r="22" spans="1:13" ht="15" customHeight="1">
      <c r="A22" s="161" t="s">
        <v>21</v>
      </c>
      <c r="B22" s="158" t="s">
        <v>53</v>
      </c>
      <c r="C22" s="165" t="s">
        <v>69</v>
      </c>
      <c r="D22" s="168">
        <v>78954</v>
      </c>
      <c r="E22" s="175">
        <v>242683765.45000008</v>
      </c>
      <c r="F22" s="172">
        <v>255287707.73999983</v>
      </c>
      <c r="G22" s="107">
        <f t="shared" si="0"/>
        <v>-12603942.289999753</v>
      </c>
      <c r="H22" s="180">
        <v>91774615.55</v>
      </c>
      <c r="I22" s="181">
        <v>0</v>
      </c>
      <c r="J22" s="34">
        <f t="shared" si="1"/>
        <v>1162.380823644147</v>
      </c>
      <c r="K22" s="35">
        <f t="shared" si="2"/>
        <v>0</v>
      </c>
      <c r="L22" s="32">
        <f t="shared" si="3"/>
        <v>37.81654507454403</v>
      </c>
      <c r="M22" s="33">
        <f t="shared" si="4"/>
        <v>0</v>
      </c>
    </row>
    <row r="23" spans="1:13" ht="15" customHeight="1">
      <c r="A23" s="161" t="s">
        <v>21</v>
      </c>
      <c r="B23" s="158" t="s">
        <v>59</v>
      </c>
      <c r="C23" s="165" t="s">
        <v>70</v>
      </c>
      <c r="D23" s="168">
        <v>48772</v>
      </c>
      <c r="E23" s="175">
        <v>140454082.47</v>
      </c>
      <c r="F23" s="172">
        <v>126276415.22999994</v>
      </c>
      <c r="G23" s="107">
        <f t="shared" si="0"/>
        <v>14177667.240000054</v>
      </c>
      <c r="H23" s="180">
        <v>15930196.21</v>
      </c>
      <c r="I23" s="181">
        <v>0</v>
      </c>
      <c r="J23" s="34">
        <f t="shared" si="1"/>
        <v>326.6258552038055</v>
      </c>
      <c r="K23" s="35">
        <f t="shared" si="2"/>
        <v>0</v>
      </c>
      <c r="L23" s="32">
        <f t="shared" si="3"/>
        <v>11.341924655983266</v>
      </c>
      <c r="M23" s="33">
        <f t="shared" si="4"/>
        <v>0</v>
      </c>
    </row>
    <row r="24" spans="1:13" ht="12.75">
      <c r="A24" s="161" t="s">
        <v>23</v>
      </c>
      <c r="B24" s="158" t="s">
        <v>51</v>
      </c>
      <c r="C24" s="165" t="s">
        <v>71</v>
      </c>
      <c r="D24" s="168">
        <v>756267</v>
      </c>
      <c r="E24" s="175">
        <v>2809318186.8700013</v>
      </c>
      <c r="F24" s="172">
        <v>3009373168.319996</v>
      </c>
      <c r="G24" s="107">
        <f t="shared" si="0"/>
        <v>-200054981.44999456</v>
      </c>
      <c r="H24" s="180">
        <v>1415247840.33</v>
      </c>
      <c r="I24" s="181">
        <v>7678.94</v>
      </c>
      <c r="J24" s="34">
        <f t="shared" si="1"/>
        <v>1871.3600359793563</v>
      </c>
      <c r="K24" s="35">
        <f t="shared" si="2"/>
        <v>0.010153741998526975</v>
      </c>
      <c r="L24" s="32">
        <f t="shared" si="3"/>
        <v>50.3769151869122</v>
      </c>
      <c r="M24" s="33">
        <f t="shared" si="4"/>
        <v>0.0002733382083912496</v>
      </c>
    </row>
    <row r="25" spans="1:13" ht="12.75">
      <c r="A25" s="161" t="s">
        <v>23</v>
      </c>
      <c r="B25" s="158" t="s">
        <v>53</v>
      </c>
      <c r="C25" s="165" t="s">
        <v>72</v>
      </c>
      <c r="D25" s="168">
        <v>84487</v>
      </c>
      <c r="E25" s="175">
        <v>290430352.8600001</v>
      </c>
      <c r="F25" s="172">
        <v>292436816.1300004</v>
      </c>
      <c r="G25" s="107">
        <f t="shared" si="0"/>
        <v>-2006463.2700003386</v>
      </c>
      <c r="H25" s="180">
        <v>57445777</v>
      </c>
      <c r="I25" s="181">
        <v>0</v>
      </c>
      <c r="J25" s="34">
        <f t="shared" si="1"/>
        <v>679.9362860558429</v>
      </c>
      <c r="K25" s="35">
        <f t="shared" si="2"/>
        <v>0</v>
      </c>
      <c r="L25" s="32">
        <f t="shared" si="3"/>
        <v>19.779536275842126</v>
      </c>
      <c r="M25" s="33">
        <f t="shared" si="4"/>
        <v>0</v>
      </c>
    </row>
    <row r="26" spans="1:13" ht="12.75">
      <c r="A26" s="161" t="s">
        <v>23</v>
      </c>
      <c r="B26" s="158" t="s">
        <v>59</v>
      </c>
      <c r="C26" s="165" t="s">
        <v>73</v>
      </c>
      <c r="D26" s="168">
        <v>116967</v>
      </c>
      <c r="E26" s="175">
        <v>352973240.55</v>
      </c>
      <c r="F26" s="172">
        <v>347804910.8999997</v>
      </c>
      <c r="G26" s="107">
        <f t="shared" si="0"/>
        <v>5168329.650000334</v>
      </c>
      <c r="H26" s="180">
        <v>126814364.92</v>
      </c>
      <c r="I26" s="181">
        <v>0</v>
      </c>
      <c r="J26" s="34">
        <f t="shared" si="1"/>
        <v>1084.1892578248567</v>
      </c>
      <c r="K26" s="35">
        <f t="shared" si="2"/>
        <v>0</v>
      </c>
      <c r="L26" s="32">
        <f t="shared" si="3"/>
        <v>35.927472780202514</v>
      </c>
      <c r="M26" s="33">
        <f t="shared" si="4"/>
        <v>0</v>
      </c>
    </row>
    <row r="27" spans="1:13" ht="12.75">
      <c r="A27" s="161" t="s">
        <v>25</v>
      </c>
      <c r="B27" s="158" t="s">
        <v>51</v>
      </c>
      <c r="C27" s="165" t="s">
        <v>74</v>
      </c>
      <c r="D27" s="168">
        <v>53605</v>
      </c>
      <c r="E27" s="175">
        <v>176858347.06</v>
      </c>
      <c r="F27" s="172">
        <v>166631888.16999978</v>
      </c>
      <c r="G27" s="107">
        <f t="shared" si="0"/>
        <v>10226458.890000224</v>
      </c>
      <c r="H27" s="180">
        <v>36469629.53</v>
      </c>
      <c r="I27" s="181">
        <v>99743.45</v>
      </c>
      <c r="J27" s="34">
        <f t="shared" si="1"/>
        <v>680.3400714485589</v>
      </c>
      <c r="K27" s="35">
        <f t="shared" si="2"/>
        <v>1.8607116873425986</v>
      </c>
      <c r="L27" s="32">
        <f t="shared" si="3"/>
        <v>20.620813287159983</v>
      </c>
      <c r="M27" s="33">
        <f t="shared" si="4"/>
        <v>0.05639736639976713</v>
      </c>
    </row>
    <row r="28" spans="1:13" ht="12.75">
      <c r="A28" s="161" t="s">
        <v>25</v>
      </c>
      <c r="B28" s="158" t="s">
        <v>53</v>
      </c>
      <c r="C28" s="165" t="s">
        <v>75</v>
      </c>
      <c r="D28" s="168">
        <v>127224</v>
      </c>
      <c r="E28" s="175">
        <v>581684299.1399996</v>
      </c>
      <c r="F28" s="172">
        <v>578612391.73</v>
      </c>
      <c r="G28" s="107">
        <f t="shared" si="0"/>
        <v>3071907.409999609</v>
      </c>
      <c r="H28" s="180">
        <v>176676629.53</v>
      </c>
      <c r="I28" s="181">
        <v>2946.37</v>
      </c>
      <c r="J28" s="34">
        <f t="shared" si="1"/>
        <v>1388.705193438345</v>
      </c>
      <c r="K28" s="35">
        <f t="shared" si="2"/>
        <v>0.023158916556624536</v>
      </c>
      <c r="L28" s="32">
        <f t="shared" si="3"/>
        <v>30.3732849229746</v>
      </c>
      <c r="M28" s="33">
        <f t="shared" si="4"/>
        <v>0.0005065239003968488</v>
      </c>
    </row>
    <row r="29" spans="1:13" ht="12.75">
      <c r="A29" s="161" t="s">
        <v>25</v>
      </c>
      <c r="B29" s="158" t="s">
        <v>59</v>
      </c>
      <c r="C29" s="165" t="s">
        <v>76</v>
      </c>
      <c r="D29" s="168">
        <v>225810</v>
      </c>
      <c r="E29" s="175">
        <v>662052695.0700003</v>
      </c>
      <c r="F29" s="172">
        <v>666857655.9699997</v>
      </c>
      <c r="G29" s="107">
        <f t="shared" si="0"/>
        <v>-4804960.89999938</v>
      </c>
      <c r="H29" s="180">
        <v>78339486.31</v>
      </c>
      <c r="I29" s="181">
        <v>268162.38</v>
      </c>
      <c r="J29" s="34">
        <f t="shared" si="1"/>
        <v>346.926559098357</v>
      </c>
      <c r="K29" s="35">
        <f t="shared" si="2"/>
        <v>1.187557592666401</v>
      </c>
      <c r="L29" s="32">
        <f t="shared" si="3"/>
        <v>11.832817371390203</v>
      </c>
      <c r="M29" s="33">
        <f t="shared" si="4"/>
        <v>0.04050468822147859</v>
      </c>
    </row>
    <row r="30" spans="1:13" ht="12.75">
      <c r="A30" s="161" t="s">
        <v>25</v>
      </c>
      <c r="B30" s="158" t="s">
        <v>55</v>
      </c>
      <c r="C30" s="165" t="s">
        <v>77</v>
      </c>
      <c r="D30" s="168">
        <v>77051</v>
      </c>
      <c r="E30" s="175">
        <v>229173814.16000015</v>
      </c>
      <c r="F30" s="172">
        <v>225356950.30999985</v>
      </c>
      <c r="G30" s="107">
        <f t="shared" si="0"/>
        <v>3816863.850000292</v>
      </c>
      <c r="H30" s="180">
        <v>63499867.42</v>
      </c>
      <c r="I30" s="181">
        <v>0</v>
      </c>
      <c r="J30" s="34">
        <f t="shared" si="1"/>
        <v>824.1277520084101</v>
      </c>
      <c r="K30" s="35">
        <f t="shared" si="2"/>
        <v>0</v>
      </c>
      <c r="L30" s="32">
        <f t="shared" si="3"/>
        <v>27.70816886420841</v>
      </c>
      <c r="M30" s="33">
        <f t="shared" si="4"/>
        <v>0</v>
      </c>
    </row>
    <row r="31" spans="1:13" ht="12.75">
      <c r="A31" s="161" t="s">
        <v>25</v>
      </c>
      <c r="B31" s="158" t="s">
        <v>78</v>
      </c>
      <c r="C31" s="165" t="s">
        <v>462</v>
      </c>
      <c r="D31" s="168">
        <v>1702139</v>
      </c>
      <c r="E31" s="175">
        <v>9771841892.389988</v>
      </c>
      <c r="F31" s="172">
        <v>9097978307.389988</v>
      </c>
      <c r="G31" s="107">
        <f t="shared" si="0"/>
        <v>673863585</v>
      </c>
      <c r="H31" s="180">
        <v>2275721699.59</v>
      </c>
      <c r="I31" s="181">
        <v>14232.61</v>
      </c>
      <c r="J31" s="34">
        <f t="shared" si="1"/>
        <v>1336.9775908959257</v>
      </c>
      <c r="K31" s="35">
        <f t="shared" si="2"/>
        <v>0.008361602665822239</v>
      </c>
      <c r="L31" s="32">
        <f t="shared" si="3"/>
        <v>23.288564475876985</v>
      </c>
      <c r="M31" s="33">
        <f t="shared" si="4"/>
        <v>0.000145649204691737</v>
      </c>
    </row>
    <row r="32" spans="1:13" ht="12.75">
      <c r="A32" s="161" t="s">
        <v>27</v>
      </c>
      <c r="B32" s="158" t="s">
        <v>51</v>
      </c>
      <c r="C32" s="165" t="s">
        <v>79</v>
      </c>
      <c r="D32" s="168">
        <v>127602</v>
      </c>
      <c r="E32" s="175">
        <v>561770444.7400001</v>
      </c>
      <c r="F32" s="172">
        <v>584312759.5500001</v>
      </c>
      <c r="G32" s="107">
        <f t="shared" si="0"/>
        <v>-22542314.809999943</v>
      </c>
      <c r="H32" s="180">
        <v>95409194.07</v>
      </c>
      <c r="I32" s="181">
        <v>0</v>
      </c>
      <c r="J32" s="34">
        <f t="shared" si="1"/>
        <v>747.7092370809235</v>
      </c>
      <c r="K32" s="35">
        <f t="shared" si="2"/>
        <v>0</v>
      </c>
      <c r="L32" s="32">
        <f t="shared" si="3"/>
        <v>16.983662092468656</v>
      </c>
      <c r="M32" s="33">
        <f t="shared" si="4"/>
        <v>0</v>
      </c>
    </row>
    <row r="33" spans="1:13" ht="12.75">
      <c r="A33" s="161" t="s">
        <v>29</v>
      </c>
      <c r="B33" s="158" t="s">
        <v>51</v>
      </c>
      <c r="C33" s="165" t="s">
        <v>80</v>
      </c>
      <c r="D33" s="168">
        <v>47723</v>
      </c>
      <c r="E33" s="175">
        <v>177579567.03000003</v>
      </c>
      <c r="F33" s="172">
        <v>180689377.77</v>
      </c>
      <c r="G33" s="107">
        <f t="shared" si="0"/>
        <v>-3109810.7399999797</v>
      </c>
      <c r="H33" s="180">
        <v>47258779.86</v>
      </c>
      <c r="I33" s="181">
        <v>216145.41</v>
      </c>
      <c r="J33" s="34">
        <f t="shared" si="1"/>
        <v>990.2726119481173</v>
      </c>
      <c r="K33" s="35">
        <f t="shared" si="2"/>
        <v>4.529166439662218</v>
      </c>
      <c r="L33" s="32">
        <f t="shared" si="3"/>
        <v>26.612735153260154</v>
      </c>
      <c r="M33" s="33">
        <f t="shared" si="4"/>
        <v>0.12171750028171019</v>
      </c>
    </row>
    <row r="34" spans="1:13" ht="12.75">
      <c r="A34" s="161" t="s">
        <v>29</v>
      </c>
      <c r="B34" s="158" t="s">
        <v>53</v>
      </c>
      <c r="C34" s="165" t="s">
        <v>81</v>
      </c>
      <c r="D34" s="168">
        <v>67127</v>
      </c>
      <c r="E34" s="175">
        <v>217952585.09999996</v>
      </c>
      <c r="F34" s="172">
        <v>222980260.83000004</v>
      </c>
      <c r="G34" s="107">
        <f t="shared" si="0"/>
        <v>-5027675.730000079</v>
      </c>
      <c r="H34" s="180">
        <v>45155254.32</v>
      </c>
      <c r="I34" s="181">
        <v>2997808.08</v>
      </c>
      <c r="J34" s="34">
        <f t="shared" si="1"/>
        <v>672.6839322478287</v>
      </c>
      <c r="K34" s="35">
        <f t="shared" si="2"/>
        <v>44.65875251389158</v>
      </c>
      <c r="L34" s="32">
        <f t="shared" si="3"/>
        <v>20.717925552147996</v>
      </c>
      <c r="M34" s="33">
        <f t="shared" si="4"/>
        <v>1.3754404787741152</v>
      </c>
    </row>
    <row r="35" spans="1:13" ht="12.75">
      <c r="A35" s="161" t="s">
        <v>29</v>
      </c>
      <c r="B35" s="158" t="s">
        <v>59</v>
      </c>
      <c r="C35" s="165" t="s">
        <v>82</v>
      </c>
      <c r="D35" s="168">
        <v>163508</v>
      </c>
      <c r="E35" s="175">
        <v>577314687.5300002</v>
      </c>
      <c r="F35" s="172">
        <v>574833973.7600001</v>
      </c>
      <c r="G35" s="107">
        <f t="shared" si="0"/>
        <v>2480713.7700001</v>
      </c>
      <c r="H35" s="180">
        <v>184795636.32</v>
      </c>
      <c r="I35" s="181">
        <v>21866.98</v>
      </c>
      <c r="J35" s="34">
        <f t="shared" si="1"/>
        <v>1130.19324020843</v>
      </c>
      <c r="K35" s="35">
        <f t="shared" si="2"/>
        <v>0.1337364532622257</v>
      </c>
      <c r="L35" s="32">
        <f t="shared" si="3"/>
        <v>32.009515834532976</v>
      </c>
      <c r="M35" s="33">
        <f t="shared" si="4"/>
        <v>0.003787705470227393</v>
      </c>
    </row>
    <row r="36" spans="1:13" ht="12.75">
      <c r="A36" s="161" t="s">
        <v>29</v>
      </c>
      <c r="B36" s="158" t="s">
        <v>55</v>
      </c>
      <c r="C36" s="165" t="s">
        <v>83</v>
      </c>
      <c r="D36" s="168">
        <v>50047</v>
      </c>
      <c r="E36" s="175">
        <v>133388987.88999997</v>
      </c>
      <c r="F36" s="172">
        <v>138225488.5899999</v>
      </c>
      <c r="G36" s="107">
        <f t="shared" si="0"/>
        <v>-4836500.699999943</v>
      </c>
      <c r="H36" s="180">
        <v>48351550.82</v>
      </c>
      <c r="I36" s="181">
        <v>4215805.82</v>
      </c>
      <c r="J36" s="34">
        <f t="shared" si="1"/>
        <v>966.122860910744</v>
      </c>
      <c r="K36" s="35">
        <f t="shared" si="2"/>
        <v>84.2369336823386</v>
      </c>
      <c r="L36" s="32">
        <f t="shared" si="3"/>
        <v>36.24853264489374</v>
      </c>
      <c r="M36" s="33">
        <f t="shared" si="4"/>
        <v>3.160535128639397</v>
      </c>
    </row>
    <row r="37" spans="1:13" ht="12.75">
      <c r="A37" s="161" t="s">
        <v>31</v>
      </c>
      <c r="B37" s="158" t="s">
        <v>51</v>
      </c>
      <c r="C37" s="165" t="s">
        <v>84</v>
      </c>
      <c r="D37" s="168">
        <v>294830</v>
      </c>
      <c r="E37" s="175">
        <v>848508207.4200006</v>
      </c>
      <c r="F37" s="172">
        <v>843129686.4399998</v>
      </c>
      <c r="G37" s="107">
        <f t="shared" si="0"/>
        <v>5378520.980000734</v>
      </c>
      <c r="H37" s="180">
        <v>199418178.32</v>
      </c>
      <c r="I37" s="181">
        <v>0</v>
      </c>
      <c r="J37" s="34">
        <f t="shared" si="1"/>
        <v>676.3836051962147</v>
      </c>
      <c r="K37" s="35">
        <f t="shared" si="2"/>
        <v>0</v>
      </c>
      <c r="L37" s="32">
        <f t="shared" si="3"/>
        <v>23.502209710658768</v>
      </c>
      <c r="M37" s="33">
        <f t="shared" si="4"/>
        <v>0</v>
      </c>
    </row>
    <row r="38" spans="1:13" ht="12.75">
      <c r="A38" s="161" t="s">
        <v>31</v>
      </c>
      <c r="B38" s="158" t="s">
        <v>53</v>
      </c>
      <c r="C38" s="165" t="s">
        <v>85</v>
      </c>
      <c r="D38" s="168">
        <v>63387</v>
      </c>
      <c r="E38" s="175">
        <v>187618927.21000004</v>
      </c>
      <c r="F38" s="172">
        <v>180810625.77000013</v>
      </c>
      <c r="G38" s="107">
        <f t="shared" si="0"/>
        <v>6808301.439999908</v>
      </c>
      <c r="H38" s="180">
        <v>11947236.65</v>
      </c>
      <c r="I38" s="181">
        <v>0</v>
      </c>
      <c r="J38" s="34">
        <f t="shared" si="1"/>
        <v>188.48086595043148</v>
      </c>
      <c r="K38" s="35">
        <f t="shared" si="2"/>
        <v>0</v>
      </c>
      <c r="L38" s="32">
        <f t="shared" si="3"/>
        <v>6.367820575281072</v>
      </c>
      <c r="M38" s="33">
        <f t="shared" si="4"/>
        <v>0</v>
      </c>
    </row>
    <row r="39" spans="1:13" ht="12.75">
      <c r="A39" s="161" t="s">
        <v>31</v>
      </c>
      <c r="B39" s="158" t="s">
        <v>59</v>
      </c>
      <c r="C39" s="165" t="s">
        <v>86</v>
      </c>
      <c r="D39" s="168">
        <v>69246</v>
      </c>
      <c r="E39" s="175">
        <v>220277880.70000002</v>
      </c>
      <c r="F39" s="172">
        <v>212042469.73000044</v>
      </c>
      <c r="G39" s="107">
        <f t="shared" si="0"/>
        <v>8235410.969999582</v>
      </c>
      <c r="H39" s="180">
        <v>76046604.86</v>
      </c>
      <c r="I39" s="181">
        <v>532248.42</v>
      </c>
      <c r="J39" s="34">
        <f t="shared" si="1"/>
        <v>1098.209353031222</v>
      </c>
      <c r="K39" s="35">
        <f t="shared" si="2"/>
        <v>7.686341738150941</v>
      </c>
      <c r="L39" s="32">
        <f t="shared" si="3"/>
        <v>34.52303273408059</v>
      </c>
      <c r="M39" s="33">
        <f t="shared" si="4"/>
        <v>0.24162590374876436</v>
      </c>
    </row>
    <row r="40" spans="1:13" ht="12.75">
      <c r="A40" s="161" t="s">
        <v>33</v>
      </c>
      <c r="B40" s="158" t="s">
        <v>51</v>
      </c>
      <c r="C40" s="165" t="s">
        <v>87</v>
      </c>
      <c r="D40" s="168">
        <v>456658</v>
      </c>
      <c r="E40" s="175">
        <v>1653459953.6800003</v>
      </c>
      <c r="F40" s="172">
        <v>1642070966.680004</v>
      </c>
      <c r="G40" s="107">
        <f aca="true" t="shared" si="5" ref="G40:G71">E40-F40</f>
        <v>11388986.999996424</v>
      </c>
      <c r="H40" s="180">
        <v>272807301.04</v>
      </c>
      <c r="I40" s="181">
        <v>0</v>
      </c>
      <c r="J40" s="34">
        <f aca="true" t="shared" si="6" ref="J40:J73">H40/D40</f>
        <v>597.3995879629833</v>
      </c>
      <c r="K40" s="35">
        <f aca="true" t="shared" si="7" ref="K40:K73">I40/D40</f>
        <v>0</v>
      </c>
      <c r="L40" s="32">
        <f aca="true" t="shared" si="8" ref="L40:L73">H40/E40*100</f>
        <v>16.4991780074764</v>
      </c>
      <c r="M40" s="33">
        <f aca="true" t="shared" si="9" ref="M40:M73">I40/E40*100</f>
        <v>0</v>
      </c>
    </row>
    <row r="41" spans="1:13" ht="12.75">
      <c r="A41" s="161" t="s">
        <v>33</v>
      </c>
      <c r="B41" s="158" t="s">
        <v>53</v>
      </c>
      <c r="C41" s="165" t="s">
        <v>88</v>
      </c>
      <c r="D41" s="168">
        <v>251844</v>
      </c>
      <c r="E41" s="175">
        <v>978805985.3599994</v>
      </c>
      <c r="F41" s="172">
        <v>923708673.9499993</v>
      </c>
      <c r="G41" s="107">
        <f t="shared" si="5"/>
        <v>55097311.410000086</v>
      </c>
      <c r="H41" s="180">
        <v>153655432.3</v>
      </c>
      <c r="I41" s="181">
        <v>52733.05</v>
      </c>
      <c r="J41" s="34">
        <f t="shared" si="6"/>
        <v>610.1214732135767</v>
      </c>
      <c r="K41" s="35">
        <f t="shared" si="7"/>
        <v>0.20938775591239023</v>
      </c>
      <c r="L41" s="32">
        <f t="shared" si="8"/>
        <v>15.698252217316222</v>
      </c>
      <c r="M41" s="33">
        <f t="shared" si="9"/>
        <v>0.005387487488708508</v>
      </c>
    </row>
    <row r="42" spans="1:13" ht="12.75">
      <c r="A42" s="161" t="s">
        <v>33</v>
      </c>
      <c r="B42" s="158" t="s">
        <v>59</v>
      </c>
      <c r="C42" s="165" t="s">
        <v>89</v>
      </c>
      <c r="D42" s="168">
        <v>98092</v>
      </c>
      <c r="E42" s="175">
        <v>340601608.3599999</v>
      </c>
      <c r="F42" s="172">
        <v>371676426.27000016</v>
      </c>
      <c r="G42" s="107">
        <f t="shared" si="5"/>
        <v>-31074817.910000265</v>
      </c>
      <c r="H42" s="180">
        <v>114977271.21</v>
      </c>
      <c r="I42" s="181">
        <v>0</v>
      </c>
      <c r="J42" s="34">
        <f t="shared" si="6"/>
        <v>1172.1370877339639</v>
      </c>
      <c r="K42" s="35">
        <f t="shared" si="7"/>
        <v>0</v>
      </c>
      <c r="L42" s="32">
        <f t="shared" si="8"/>
        <v>33.757113409891595</v>
      </c>
      <c r="M42" s="33">
        <f t="shared" si="9"/>
        <v>0</v>
      </c>
    </row>
    <row r="43" spans="1:13" ht="12.75">
      <c r="A43" s="161" t="s">
        <v>33</v>
      </c>
      <c r="B43" s="158" t="s">
        <v>55</v>
      </c>
      <c r="C43" s="165" t="s">
        <v>90</v>
      </c>
      <c r="D43" s="168">
        <v>39624</v>
      </c>
      <c r="E43" s="175">
        <v>254198865.70000002</v>
      </c>
      <c r="F43" s="172">
        <v>207662755.2</v>
      </c>
      <c r="G43" s="107">
        <f t="shared" si="5"/>
        <v>46536110.50000003</v>
      </c>
      <c r="H43" s="180">
        <v>10247584.21</v>
      </c>
      <c r="I43" s="181">
        <v>0</v>
      </c>
      <c r="J43" s="34">
        <f t="shared" si="6"/>
        <v>258.62063925903493</v>
      </c>
      <c r="K43" s="35">
        <f t="shared" si="7"/>
        <v>0</v>
      </c>
      <c r="L43" s="32">
        <f t="shared" si="8"/>
        <v>4.031325703118588</v>
      </c>
      <c r="M43" s="33">
        <f t="shared" si="9"/>
        <v>0</v>
      </c>
    </row>
    <row r="44" spans="1:13" ht="12.75">
      <c r="A44" s="161" t="s">
        <v>35</v>
      </c>
      <c r="B44" s="158" t="s">
        <v>51</v>
      </c>
      <c r="C44" s="165" t="s">
        <v>91</v>
      </c>
      <c r="D44" s="168">
        <v>176453</v>
      </c>
      <c r="E44" s="175">
        <v>544676777.6400002</v>
      </c>
      <c r="F44" s="172">
        <v>533432037.83999985</v>
      </c>
      <c r="G44" s="107">
        <f t="shared" si="5"/>
        <v>11244739.80000037</v>
      </c>
      <c r="H44" s="180">
        <v>60052479.61</v>
      </c>
      <c r="I44" s="181">
        <v>1033</v>
      </c>
      <c r="J44" s="34">
        <f t="shared" si="6"/>
        <v>340.33130414331293</v>
      </c>
      <c r="K44" s="35">
        <f t="shared" si="7"/>
        <v>0.005854250140263979</v>
      </c>
      <c r="L44" s="32">
        <f t="shared" si="8"/>
        <v>11.02534238198993</v>
      </c>
      <c r="M44" s="33">
        <f t="shared" si="9"/>
        <v>0.0001896537620854387</v>
      </c>
    </row>
    <row r="45" spans="1:13" ht="12.75">
      <c r="A45" s="161" t="s">
        <v>35</v>
      </c>
      <c r="B45" s="158" t="s">
        <v>53</v>
      </c>
      <c r="C45" s="165" t="s">
        <v>92</v>
      </c>
      <c r="D45" s="168">
        <v>186540</v>
      </c>
      <c r="E45" s="175">
        <v>477500820.2999997</v>
      </c>
      <c r="F45" s="172">
        <v>472699096.20999974</v>
      </c>
      <c r="G45" s="107">
        <f t="shared" si="5"/>
        <v>4801724.089999974</v>
      </c>
      <c r="H45" s="180">
        <v>28735384.97</v>
      </c>
      <c r="I45" s="181">
        <v>711.5</v>
      </c>
      <c r="J45" s="34">
        <f t="shared" si="6"/>
        <v>154.0440922590329</v>
      </c>
      <c r="K45" s="35">
        <f t="shared" si="7"/>
        <v>0.0038141953468425003</v>
      </c>
      <c r="L45" s="32">
        <f t="shared" si="8"/>
        <v>6.017871330974134</v>
      </c>
      <c r="M45" s="33">
        <f t="shared" si="9"/>
        <v>0.0001490049796255817</v>
      </c>
    </row>
    <row r="46" spans="1:13" ht="12.75">
      <c r="A46" s="161" t="s">
        <v>35</v>
      </c>
      <c r="B46" s="158" t="s">
        <v>59</v>
      </c>
      <c r="C46" s="165" t="s">
        <v>93</v>
      </c>
      <c r="D46" s="168">
        <v>113978</v>
      </c>
      <c r="E46" s="175">
        <v>343941807.87</v>
      </c>
      <c r="F46" s="172">
        <v>322051114.71</v>
      </c>
      <c r="G46" s="107">
        <f t="shared" si="5"/>
        <v>21890693.160000026</v>
      </c>
      <c r="H46" s="180">
        <v>43720241.8</v>
      </c>
      <c r="I46" s="181">
        <v>0</v>
      </c>
      <c r="J46" s="34">
        <f t="shared" si="6"/>
        <v>383.5849181420976</v>
      </c>
      <c r="K46" s="35">
        <f t="shared" si="7"/>
        <v>0</v>
      </c>
      <c r="L46" s="32">
        <f t="shared" si="8"/>
        <v>12.711522937777014</v>
      </c>
      <c r="M46" s="33">
        <f t="shared" si="9"/>
        <v>0</v>
      </c>
    </row>
    <row r="47" spans="1:13" ht="12.75">
      <c r="A47" s="161" t="s">
        <v>35</v>
      </c>
      <c r="B47" s="158" t="s">
        <v>55</v>
      </c>
      <c r="C47" s="165" t="s">
        <v>94</v>
      </c>
      <c r="D47" s="168">
        <v>245030</v>
      </c>
      <c r="E47" s="175">
        <v>712038268.7499998</v>
      </c>
      <c r="F47" s="172">
        <v>724781124.3100003</v>
      </c>
      <c r="G47" s="107">
        <f t="shared" si="5"/>
        <v>-12742855.560000539</v>
      </c>
      <c r="H47" s="180">
        <v>249309096.73</v>
      </c>
      <c r="I47" s="181">
        <v>120122.34</v>
      </c>
      <c r="J47" s="34">
        <f t="shared" si="6"/>
        <v>1017.463562543362</v>
      </c>
      <c r="K47" s="35">
        <f t="shared" si="7"/>
        <v>0.49023523650165285</v>
      </c>
      <c r="L47" s="32">
        <f t="shared" si="8"/>
        <v>35.01344066347278</v>
      </c>
      <c r="M47" s="33">
        <f t="shared" si="9"/>
        <v>0.016870208424454157</v>
      </c>
    </row>
    <row r="48" spans="1:13" ht="12.75">
      <c r="A48" s="161" t="s">
        <v>35</v>
      </c>
      <c r="B48" s="158" t="s">
        <v>78</v>
      </c>
      <c r="C48" s="165" t="s">
        <v>95</v>
      </c>
      <c r="D48" s="168">
        <v>129559</v>
      </c>
      <c r="E48" s="175">
        <v>424091881.5499997</v>
      </c>
      <c r="F48" s="172">
        <v>410556460.6299998</v>
      </c>
      <c r="G48" s="107">
        <f t="shared" si="5"/>
        <v>13535420.919999897</v>
      </c>
      <c r="H48" s="180">
        <v>74130657.79</v>
      </c>
      <c r="I48" s="181">
        <v>12567363.99</v>
      </c>
      <c r="J48" s="34">
        <f t="shared" si="6"/>
        <v>572.1768290122648</v>
      </c>
      <c r="K48" s="35">
        <f t="shared" si="7"/>
        <v>97.00108823007278</v>
      </c>
      <c r="L48" s="32">
        <f t="shared" si="8"/>
        <v>17.479857789086235</v>
      </c>
      <c r="M48" s="33">
        <f t="shared" si="9"/>
        <v>2.9633587759491995</v>
      </c>
    </row>
    <row r="49" spans="1:13" ht="12.75">
      <c r="A49" s="161" t="s">
        <v>35</v>
      </c>
      <c r="B49" s="158" t="s">
        <v>96</v>
      </c>
      <c r="C49" s="165" t="s">
        <v>97</v>
      </c>
      <c r="D49" s="168">
        <v>198499</v>
      </c>
      <c r="E49" s="175">
        <v>720811120.3400003</v>
      </c>
      <c r="F49" s="172">
        <v>720974881.8</v>
      </c>
      <c r="G49" s="107">
        <f t="shared" si="5"/>
        <v>-163761.45999968052</v>
      </c>
      <c r="H49" s="180">
        <v>30016635.61</v>
      </c>
      <c r="I49" s="181">
        <v>1109535.92</v>
      </c>
      <c r="J49" s="34">
        <f t="shared" si="6"/>
        <v>151.21806966281946</v>
      </c>
      <c r="K49" s="35">
        <f t="shared" si="7"/>
        <v>5.589629771434616</v>
      </c>
      <c r="L49" s="32">
        <f t="shared" si="8"/>
        <v>4.164285866711021</v>
      </c>
      <c r="M49" s="33">
        <f t="shared" si="9"/>
        <v>0.15392880169171663</v>
      </c>
    </row>
    <row r="50" spans="1:13" ht="12.75">
      <c r="A50" s="161" t="s">
        <v>35</v>
      </c>
      <c r="B50" s="158" t="s">
        <v>98</v>
      </c>
      <c r="C50" s="165" t="s">
        <v>99</v>
      </c>
      <c r="D50" s="168">
        <v>94716</v>
      </c>
      <c r="E50" s="175">
        <v>249218794.49000007</v>
      </c>
      <c r="F50" s="172">
        <v>242898311.0999999</v>
      </c>
      <c r="G50" s="107">
        <f t="shared" si="5"/>
        <v>6320483.3900001645</v>
      </c>
      <c r="H50" s="180">
        <v>48067115.31</v>
      </c>
      <c r="I50" s="181">
        <v>17.31</v>
      </c>
      <c r="J50" s="34">
        <f t="shared" si="6"/>
        <v>507.48675313568987</v>
      </c>
      <c r="K50" s="35">
        <f t="shared" si="7"/>
        <v>0.00018275687317876598</v>
      </c>
      <c r="L50" s="32">
        <f t="shared" si="8"/>
        <v>19.287114925808176</v>
      </c>
      <c r="M50" s="33">
        <f t="shared" si="9"/>
        <v>6.945704089221314E-06</v>
      </c>
    </row>
    <row r="51" spans="1:13" ht="12.75">
      <c r="A51" s="161" t="s">
        <v>35</v>
      </c>
      <c r="B51" s="158" t="s">
        <v>100</v>
      </c>
      <c r="C51" s="165" t="s">
        <v>101</v>
      </c>
      <c r="D51" s="168">
        <v>95771</v>
      </c>
      <c r="E51" s="175">
        <v>279535321.26999986</v>
      </c>
      <c r="F51" s="172">
        <v>294860312.3699998</v>
      </c>
      <c r="G51" s="107">
        <f t="shared" si="5"/>
        <v>-15324991.099999964</v>
      </c>
      <c r="H51" s="180">
        <v>38435605.64</v>
      </c>
      <c r="I51" s="181">
        <v>351.54</v>
      </c>
      <c r="J51" s="34">
        <f t="shared" si="6"/>
        <v>401.3282271251214</v>
      </c>
      <c r="K51" s="35">
        <f t="shared" si="7"/>
        <v>0.0036706309843271973</v>
      </c>
      <c r="L51" s="32">
        <f t="shared" si="8"/>
        <v>13.7498207616044</v>
      </c>
      <c r="M51" s="33">
        <f t="shared" si="9"/>
        <v>0.0001257587049832789</v>
      </c>
    </row>
    <row r="52" spans="1:13" ht="12.75">
      <c r="A52" s="161" t="s">
        <v>35</v>
      </c>
      <c r="B52" s="158" t="s">
        <v>102</v>
      </c>
      <c r="C52" s="165" t="s">
        <v>103</v>
      </c>
      <c r="D52" s="168">
        <v>314500</v>
      </c>
      <c r="E52" s="175">
        <v>1146119270.3900008</v>
      </c>
      <c r="F52" s="172">
        <v>1017029189.4000006</v>
      </c>
      <c r="G52" s="107">
        <f t="shared" si="5"/>
        <v>129090080.99000025</v>
      </c>
      <c r="H52" s="180">
        <v>154244552.36</v>
      </c>
      <c r="I52" s="181">
        <v>8417161.2</v>
      </c>
      <c r="J52" s="34">
        <f t="shared" si="6"/>
        <v>490.44372769475365</v>
      </c>
      <c r="K52" s="35">
        <f t="shared" si="7"/>
        <v>26.763628616852145</v>
      </c>
      <c r="L52" s="32">
        <f t="shared" si="8"/>
        <v>13.457984377796366</v>
      </c>
      <c r="M52" s="33">
        <f t="shared" si="9"/>
        <v>0.7344053465862949</v>
      </c>
    </row>
    <row r="53" spans="1:13" ht="12.75">
      <c r="A53" s="161" t="s">
        <v>35</v>
      </c>
      <c r="B53" s="158" t="s">
        <v>104</v>
      </c>
      <c r="C53" s="165" t="s">
        <v>105</v>
      </c>
      <c r="D53" s="168">
        <v>75063</v>
      </c>
      <c r="E53" s="175">
        <v>301115960.4099999</v>
      </c>
      <c r="F53" s="172">
        <v>235604355.39</v>
      </c>
      <c r="G53" s="107">
        <f t="shared" si="5"/>
        <v>65511605.01999992</v>
      </c>
      <c r="H53" s="180">
        <v>53669155.32</v>
      </c>
      <c r="I53" s="181">
        <v>88477.9</v>
      </c>
      <c r="J53" s="34">
        <f t="shared" si="6"/>
        <v>714.9881475560529</v>
      </c>
      <c r="K53" s="35">
        <f t="shared" si="7"/>
        <v>1.1787152125547873</v>
      </c>
      <c r="L53" s="32">
        <f t="shared" si="8"/>
        <v>17.823417678333627</v>
      </c>
      <c r="M53" s="33">
        <f t="shared" si="9"/>
        <v>0.02938333121881961</v>
      </c>
    </row>
    <row r="54" spans="1:13" ht="12.75">
      <c r="A54" s="161" t="s">
        <v>35</v>
      </c>
      <c r="B54" s="158" t="s">
        <v>106</v>
      </c>
      <c r="C54" s="165" t="s">
        <v>107</v>
      </c>
      <c r="D54" s="168">
        <v>59338</v>
      </c>
      <c r="E54" s="175">
        <v>129875408.26999992</v>
      </c>
      <c r="F54" s="172">
        <v>121060293.63999999</v>
      </c>
      <c r="G54" s="107">
        <f t="shared" si="5"/>
        <v>8815114.629999936</v>
      </c>
      <c r="H54" s="180">
        <v>27813634.03</v>
      </c>
      <c r="I54" s="181">
        <v>684505.54</v>
      </c>
      <c r="J54" s="34">
        <f t="shared" si="6"/>
        <v>468.73224628400015</v>
      </c>
      <c r="K54" s="35">
        <f t="shared" si="7"/>
        <v>11.535702922242072</v>
      </c>
      <c r="L54" s="32">
        <f t="shared" si="8"/>
        <v>21.415627793198404</v>
      </c>
      <c r="M54" s="33">
        <f t="shared" si="9"/>
        <v>0.5270478446365853</v>
      </c>
    </row>
    <row r="55" spans="1:13" ht="12.75">
      <c r="A55" s="161" t="s">
        <v>35</v>
      </c>
      <c r="B55" s="158" t="s">
        <v>108</v>
      </c>
      <c r="C55" s="165" t="s">
        <v>109</v>
      </c>
      <c r="D55" s="168">
        <v>145471</v>
      </c>
      <c r="E55" s="175">
        <v>510416207.16999996</v>
      </c>
      <c r="F55" s="172">
        <v>519458669.8900006</v>
      </c>
      <c r="G55" s="107">
        <f t="shared" si="5"/>
        <v>-9042462.720000625</v>
      </c>
      <c r="H55" s="180">
        <v>132428031.94</v>
      </c>
      <c r="I55" s="181">
        <v>0</v>
      </c>
      <c r="J55" s="34">
        <f t="shared" si="6"/>
        <v>910.339737404706</v>
      </c>
      <c r="K55" s="35">
        <f t="shared" si="7"/>
        <v>0</v>
      </c>
      <c r="L55" s="32">
        <f t="shared" si="8"/>
        <v>25.945107165433978</v>
      </c>
      <c r="M55" s="33">
        <f t="shared" si="9"/>
        <v>0</v>
      </c>
    </row>
    <row r="56" spans="1:13" ht="12.75">
      <c r="A56" s="161" t="s">
        <v>35</v>
      </c>
      <c r="B56" s="158" t="s">
        <v>110</v>
      </c>
      <c r="C56" s="165" t="s">
        <v>111</v>
      </c>
      <c r="D56" s="168">
        <v>141388</v>
      </c>
      <c r="E56" s="175">
        <v>514832544.7400002</v>
      </c>
      <c r="F56" s="172">
        <v>569177194.9199997</v>
      </c>
      <c r="G56" s="107">
        <f t="shared" si="5"/>
        <v>-54344650.17999953</v>
      </c>
      <c r="H56" s="180">
        <v>177696649.65</v>
      </c>
      <c r="I56" s="181">
        <v>510914.2</v>
      </c>
      <c r="J56" s="34">
        <f t="shared" si="6"/>
        <v>1256.8014941154836</v>
      </c>
      <c r="K56" s="35">
        <f t="shared" si="7"/>
        <v>3.6135612640393813</v>
      </c>
      <c r="L56" s="32">
        <f t="shared" si="8"/>
        <v>34.5154267082591</v>
      </c>
      <c r="M56" s="33">
        <f t="shared" si="9"/>
        <v>0.09923890888794162</v>
      </c>
    </row>
    <row r="57" spans="1:13" ht="12.75">
      <c r="A57" s="161" t="s">
        <v>35</v>
      </c>
      <c r="B57" s="158" t="s">
        <v>112</v>
      </c>
      <c r="C57" s="165" t="s">
        <v>113</v>
      </c>
      <c r="D57" s="168">
        <v>72247</v>
      </c>
      <c r="E57" s="175">
        <v>192045451.60000002</v>
      </c>
      <c r="F57" s="172">
        <v>188706966.3400003</v>
      </c>
      <c r="G57" s="107">
        <f t="shared" si="5"/>
        <v>3338485.2599997222</v>
      </c>
      <c r="H57" s="180">
        <v>59110310.15</v>
      </c>
      <c r="I57" s="181">
        <v>15007.15</v>
      </c>
      <c r="J57" s="34">
        <f t="shared" si="6"/>
        <v>818.1697530693316</v>
      </c>
      <c r="K57" s="35">
        <f t="shared" si="7"/>
        <v>0.20772004373884037</v>
      </c>
      <c r="L57" s="32">
        <f t="shared" si="8"/>
        <v>30.779333567929186</v>
      </c>
      <c r="M57" s="33">
        <f t="shared" si="9"/>
        <v>0.007814374084348269</v>
      </c>
    </row>
    <row r="58" spans="1:13" ht="12.75">
      <c r="A58" s="161" t="s">
        <v>35</v>
      </c>
      <c r="B58" s="158" t="s">
        <v>114</v>
      </c>
      <c r="C58" s="165" t="s">
        <v>115</v>
      </c>
      <c r="D58" s="168">
        <v>224244</v>
      </c>
      <c r="E58" s="175">
        <v>607989816.8600004</v>
      </c>
      <c r="F58" s="172">
        <v>577319647.3199997</v>
      </c>
      <c r="G58" s="107">
        <f t="shared" si="5"/>
        <v>30670169.540000677</v>
      </c>
      <c r="H58" s="180">
        <v>53156428.1</v>
      </c>
      <c r="I58" s="181">
        <v>1804749.02</v>
      </c>
      <c r="J58" s="34">
        <f t="shared" si="6"/>
        <v>237.04727038404596</v>
      </c>
      <c r="K58" s="35">
        <f t="shared" si="7"/>
        <v>8.048148534631919</v>
      </c>
      <c r="L58" s="32">
        <f t="shared" si="8"/>
        <v>8.742980001627254</v>
      </c>
      <c r="M58" s="33">
        <f t="shared" si="9"/>
        <v>0.29683869202295754</v>
      </c>
    </row>
    <row r="59" spans="1:13" ht="12.75">
      <c r="A59" s="161" t="s">
        <v>35</v>
      </c>
      <c r="B59" s="158" t="s">
        <v>116</v>
      </c>
      <c r="C59" s="165" t="s">
        <v>117</v>
      </c>
      <c r="D59" s="168">
        <v>54938</v>
      </c>
      <c r="E59" s="175">
        <v>123982585.24000004</v>
      </c>
      <c r="F59" s="172">
        <v>127364438.29999992</v>
      </c>
      <c r="G59" s="107">
        <f t="shared" si="5"/>
        <v>-3381853.059999883</v>
      </c>
      <c r="H59" s="180">
        <v>28209522.8</v>
      </c>
      <c r="I59" s="181">
        <v>0</v>
      </c>
      <c r="J59" s="34">
        <f t="shared" si="6"/>
        <v>513.4792456951473</v>
      </c>
      <c r="K59" s="35">
        <f t="shared" si="7"/>
        <v>0</v>
      </c>
      <c r="L59" s="32">
        <f t="shared" si="8"/>
        <v>22.75281060270944</v>
      </c>
      <c r="M59" s="33">
        <f t="shared" si="9"/>
        <v>0</v>
      </c>
    </row>
    <row r="60" spans="1:13" ht="12.75">
      <c r="A60" s="161" t="s">
        <v>35</v>
      </c>
      <c r="B60" s="158" t="s">
        <v>118</v>
      </c>
      <c r="C60" s="165" t="s">
        <v>119</v>
      </c>
      <c r="D60" s="168">
        <v>130492</v>
      </c>
      <c r="E60" s="175">
        <v>427280887.21999985</v>
      </c>
      <c r="F60" s="172">
        <v>378436631.1099999</v>
      </c>
      <c r="G60" s="107">
        <f t="shared" si="5"/>
        <v>48844256.109999955</v>
      </c>
      <c r="H60" s="180">
        <v>5045750.26</v>
      </c>
      <c r="I60" s="181">
        <v>1346.27</v>
      </c>
      <c r="J60" s="34">
        <f t="shared" si="6"/>
        <v>38.667123348557766</v>
      </c>
      <c r="K60" s="35">
        <f t="shared" si="7"/>
        <v>0.010316877662998498</v>
      </c>
      <c r="L60" s="32">
        <f t="shared" si="8"/>
        <v>1.1808977211288243</v>
      </c>
      <c r="M60" s="33">
        <f t="shared" si="9"/>
        <v>0.000315078450795958</v>
      </c>
    </row>
    <row r="61" spans="1:13" ht="12.75">
      <c r="A61" s="161" t="s">
        <v>35</v>
      </c>
      <c r="B61" s="158" t="s">
        <v>120</v>
      </c>
      <c r="C61" s="165" t="s">
        <v>121</v>
      </c>
      <c r="D61" s="168">
        <v>190110</v>
      </c>
      <c r="E61" s="175">
        <v>549819654.6499997</v>
      </c>
      <c r="F61" s="172">
        <v>522652423.57999986</v>
      </c>
      <c r="G61" s="107">
        <f t="shared" si="5"/>
        <v>27167231.069999874</v>
      </c>
      <c r="H61" s="180">
        <v>63278300.8</v>
      </c>
      <c r="I61" s="181">
        <v>8288.8</v>
      </c>
      <c r="J61" s="34">
        <f t="shared" si="6"/>
        <v>332.85098521908367</v>
      </c>
      <c r="K61" s="35">
        <f t="shared" si="7"/>
        <v>0.043600021040450264</v>
      </c>
      <c r="L61" s="32">
        <f t="shared" si="8"/>
        <v>11.508919381989218</v>
      </c>
      <c r="M61" s="33">
        <f t="shared" si="9"/>
        <v>0.0015075488716889223</v>
      </c>
    </row>
    <row r="62" spans="1:13" ht="12.75">
      <c r="A62" s="161" t="s">
        <v>35</v>
      </c>
      <c r="B62" s="158" t="s">
        <v>122</v>
      </c>
      <c r="C62" s="165" t="s">
        <v>123</v>
      </c>
      <c r="D62" s="168">
        <v>62416</v>
      </c>
      <c r="E62" s="175">
        <v>186971882.22000006</v>
      </c>
      <c r="F62" s="172">
        <v>214372852.60999995</v>
      </c>
      <c r="G62" s="107">
        <f t="shared" si="5"/>
        <v>-27400970.389999896</v>
      </c>
      <c r="H62" s="180">
        <v>93712786.38</v>
      </c>
      <c r="I62" s="181">
        <v>4023.32</v>
      </c>
      <c r="J62" s="34">
        <f t="shared" si="6"/>
        <v>1501.4224939118174</v>
      </c>
      <c r="K62" s="35">
        <f t="shared" si="7"/>
        <v>0.06445975390925404</v>
      </c>
      <c r="L62" s="32">
        <f t="shared" si="8"/>
        <v>50.12132587387287</v>
      </c>
      <c r="M62" s="33">
        <f t="shared" si="9"/>
        <v>0.0021518315760794284</v>
      </c>
    </row>
    <row r="63" spans="1:13" ht="12.75">
      <c r="A63" s="161" t="s">
        <v>37</v>
      </c>
      <c r="B63" s="158" t="s">
        <v>51</v>
      </c>
      <c r="C63" s="165" t="s">
        <v>124</v>
      </c>
      <c r="D63" s="168">
        <v>207188</v>
      </c>
      <c r="E63" s="175">
        <v>646434943.5100003</v>
      </c>
      <c r="F63" s="172">
        <v>604886823.7099997</v>
      </c>
      <c r="G63" s="107">
        <f t="shared" si="5"/>
        <v>41548119.80000067</v>
      </c>
      <c r="H63" s="180">
        <v>103041517.52</v>
      </c>
      <c r="I63" s="181">
        <v>32766.52</v>
      </c>
      <c r="J63" s="34">
        <f t="shared" si="6"/>
        <v>497.3334243295944</v>
      </c>
      <c r="K63" s="35">
        <f t="shared" si="7"/>
        <v>0.15814873448269204</v>
      </c>
      <c r="L63" s="32">
        <f t="shared" si="8"/>
        <v>15.939967131186798</v>
      </c>
      <c r="M63" s="33">
        <f t="shared" si="9"/>
        <v>0.005068803957608628</v>
      </c>
    </row>
    <row r="64" spans="1:13" ht="12.75">
      <c r="A64" s="161" t="s">
        <v>39</v>
      </c>
      <c r="B64" s="158" t="s">
        <v>51</v>
      </c>
      <c r="C64" s="165" t="s">
        <v>125</v>
      </c>
      <c r="D64" s="168">
        <v>126985</v>
      </c>
      <c r="E64" s="175">
        <v>408793663.5800001</v>
      </c>
      <c r="F64" s="172">
        <v>388277610.5400008</v>
      </c>
      <c r="G64" s="107">
        <f t="shared" si="5"/>
        <v>20516053.039999306</v>
      </c>
      <c r="H64" s="180">
        <v>80190734.1</v>
      </c>
      <c r="I64" s="181">
        <v>36692.73</v>
      </c>
      <c r="J64" s="34">
        <f t="shared" si="6"/>
        <v>631.4976894908847</v>
      </c>
      <c r="K64" s="35">
        <f t="shared" si="7"/>
        <v>0.28895326219632245</v>
      </c>
      <c r="L64" s="32">
        <f t="shared" si="8"/>
        <v>19.616432749405085</v>
      </c>
      <c r="M64" s="33">
        <f t="shared" si="9"/>
        <v>0.00897585585810317</v>
      </c>
    </row>
    <row r="65" spans="1:13" ht="12.75">
      <c r="A65" s="161" t="s">
        <v>39</v>
      </c>
      <c r="B65" s="158" t="s">
        <v>53</v>
      </c>
      <c r="C65" s="165" t="s">
        <v>126</v>
      </c>
      <c r="D65" s="168">
        <v>174941</v>
      </c>
      <c r="E65" s="175">
        <v>586178832.7199997</v>
      </c>
      <c r="F65" s="172">
        <v>560940282.2900004</v>
      </c>
      <c r="G65" s="107">
        <f t="shared" si="5"/>
        <v>25238550.429999232</v>
      </c>
      <c r="H65" s="180">
        <v>82611270.19</v>
      </c>
      <c r="I65" s="181">
        <v>2476902.41</v>
      </c>
      <c r="J65" s="34">
        <f t="shared" si="6"/>
        <v>472.2236079020927</v>
      </c>
      <c r="K65" s="35">
        <f t="shared" si="7"/>
        <v>14.158501494789673</v>
      </c>
      <c r="L65" s="32">
        <f t="shared" si="8"/>
        <v>14.09318548857614</v>
      </c>
      <c r="M65" s="33">
        <f t="shared" si="9"/>
        <v>0.4225506401359844</v>
      </c>
    </row>
    <row r="66" spans="1:13" ht="12.75">
      <c r="A66" s="161" t="s">
        <v>41</v>
      </c>
      <c r="B66" s="158" t="s">
        <v>51</v>
      </c>
      <c r="C66" s="165" t="s">
        <v>127</v>
      </c>
      <c r="D66" s="168">
        <v>108477</v>
      </c>
      <c r="E66" s="175">
        <v>330616632.23000014</v>
      </c>
      <c r="F66" s="172">
        <v>342831370.1300005</v>
      </c>
      <c r="G66" s="107">
        <f t="shared" si="5"/>
        <v>-12214737.900000334</v>
      </c>
      <c r="H66" s="180">
        <v>89194415.89</v>
      </c>
      <c r="I66" s="181">
        <v>71760.88</v>
      </c>
      <c r="J66" s="34">
        <f t="shared" si="6"/>
        <v>822.2426495017377</v>
      </c>
      <c r="K66" s="35">
        <f t="shared" si="7"/>
        <v>0.6615308314204855</v>
      </c>
      <c r="L66" s="32">
        <f t="shared" si="8"/>
        <v>26.978199883165622</v>
      </c>
      <c r="M66" s="33">
        <f t="shared" si="9"/>
        <v>0.021705163323446502</v>
      </c>
    </row>
    <row r="67" spans="1:13" ht="12.75">
      <c r="A67" s="161" t="s">
        <v>41</v>
      </c>
      <c r="B67" s="158" t="s">
        <v>53</v>
      </c>
      <c r="C67" s="165" t="s">
        <v>128</v>
      </c>
      <c r="D67" s="168">
        <v>80471</v>
      </c>
      <c r="E67" s="175">
        <v>357991675.86000013</v>
      </c>
      <c r="F67" s="172">
        <v>385376115.79</v>
      </c>
      <c r="G67" s="107">
        <f t="shared" si="5"/>
        <v>-27384439.929999888</v>
      </c>
      <c r="H67" s="180">
        <v>64121663.76</v>
      </c>
      <c r="I67" s="181">
        <v>716530.37</v>
      </c>
      <c r="J67" s="34">
        <f t="shared" si="6"/>
        <v>796.8294635334468</v>
      </c>
      <c r="K67" s="35">
        <f t="shared" si="7"/>
        <v>8.904206111518436</v>
      </c>
      <c r="L67" s="32">
        <f t="shared" si="8"/>
        <v>17.91149573686626</v>
      </c>
      <c r="M67" s="33">
        <f t="shared" si="9"/>
        <v>0.20015280195515317</v>
      </c>
    </row>
    <row r="68" spans="1:13" ht="12.75">
      <c r="A68" s="161" t="s">
        <v>41</v>
      </c>
      <c r="B68" s="158" t="s">
        <v>59</v>
      </c>
      <c r="C68" s="165" t="s">
        <v>129</v>
      </c>
      <c r="D68" s="168">
        <v>63955</v>
      </c>
      <c r="E68" s="175">
        <v>216384054.28</v>
      </c>
      <c r="F68" s="172">
        <v>218408373.38999975</v>
      </c>
      <c r="G68" s="107">
        <f t="shared" si="5"/>
        <v>-2024319.109999746</v>
      </c>
      <c r="H68" s="180">
        <v>82400685.91</v>
      </c>
      <c r="I68" s="181">
        <v>685.91</v>
      </c>
      <c r="J68" s="34">
        <f t="shared" si="6"/>
        <v>1288.4166352904385</v>
      </c>
      <c r="K68" s="35">
        <f t="shared" si="7"/>
        <v>0.01072488468454382</v>
      </c>
      <c r="L68" s="32">
        <f t="shared" si="8"/>
        <v>38.08075700595474</v>
      </c>
      <c r="M68" s="33">
        <f t="shared" si="9"/>
        <v>0.0003169873132668249</v>
      </c>
    </row>
    <row r="69" spans="1:13" ht="12.75">
      <c r="A69" s="161" t="s">
        <v>41</v>
      </c>
      <c r="B69" s="158" t="s">
        <v>55</v>
      </c>
      <c r="C69" s="165" t="s">
        <v>130</v>
      </c>
      <c r="D69" s="168">
        <v>564951</v>
      </c>
      <c r="E69" s="175">
        <v>2238196070.9100003</v>
      </c>
      <c r="F69" s="172">
        <v>2107024033.480001</v>
      </c>
      <c r="G69" s="107">
        <f t="shared" si="5"/>
        <v>131172037.42999935</v>
      </c>
      <c r="H69" s="180">
        <v>604067628.48</v>
      </c>
      <c r="I69" s="181">
        <v>190005.69</v>
      </c>
      <c r="J69" s="34">
        <f t="shared" si="6"/>
        <v>1069.2389755571724</v>
      </c>
      <c r="K69" s="35">
        <f t="shared" si="7"/>
        <v>0.33632242442264904</v>
      </c>
      <c r="L69" s="32">
        <f t="shared" si="8"/>
        <v>26.989039804470732</v>
      </c>
      <c r="M69" s="33">
        <f t="shared" si="9"/>
        <v>0.008489233471076016</v>
      </c>
    </row>
    <row r="70" spans="1:13" ht="12.75">
      <c r="A70" s="161" t="s">
        <v>43</v>
      </c>
      <c r="B70" s="158" t="s">
        <v>51</v>
      </c>
      <c r="C70" s="165" t="s">
        <v>131</v>
      </c>
      <c r="D70" s="168">
        <v>107693</v>
      </c>
      <c r="E70" s="175">
        <v>324295291.76999986</v>
      </c>
      <c r="F70" s="172">
        <v>308015069.8600003</v>
      </c>
      <c r="G70" s="107">
        <f t="shared" si="5"/>
        <v>16280221.90999955</v>
      </c>
      <c r="H70" s="180">
        <v>45679519.46</v>
      </c>
      <c r="I70" s="181">
        <v>7150.4</v>
      </c>
      <c r="J70" s="34">
        <f t="shared" si="6"/>
        <v>424.16423964417373</v>
      </c>
      <c r="K70" s="35">
        <f t="shared" si="7"/>
        <v>0.0663961445962133</v>
      </c>
      <c r="L70" s="32">
        <f t="shared" si="8"/>
        <v>14.085779417481433</v>
      </c>
      <c r="M70" s="33">
        <f t="shared" si="9"/>
        <v>0.0022049040431556073</v>
      </c>
    </row>
    <row r="71" spans="1:13" ht="12.75">
      <c r="A71" s="161" t="s">
        <v>43</v>
      </c>
      <c r="B71" s="158" t="s">
        <v>53</v>
      </c>
      <c r="C71" s="165" t="s">
        <v>132</v>
      </c>
      <c r="D71" s="168">
        <v>409068</v>
      </c>
      <c r="E71" s="175">
        <v>1161296242.3500004</v>
      </c>
      <c r="F71" s="172">
        <v>1105912019.0300004</v>
      </c>
      <c r="G71" s="107">
        <f t="shared" si="5"/>
        <v>55384223.31999993</v>
      </c>
      <c r="H71" s="180">
        <v>217478685.56</v>
      </c>
      <c r="I71" s="181">
        <v>514135.92</v>
      </c>
      <c r="J71" s="34">
        <f t="shared" si="6"/>
        <v>531.6443367850821</v>
      </c>
      <c r="K71" s="35">
        <f t="shared" si="7"/>
        <v>1.2568470767696325</v>
      </c>
      <c r="L71" s="32">
        <f t="shared" si="8"/>
        <v>18.727235792988523</v>
      </c>
      <c r="M71" s="33">
        <f t="shared" si="9"/>
        <v>0.04427258965030267</v>
      </c>
    </row>
    <row r="72" spans="1:13" ht="13.5" thickBot="1">
      <c r="A72" s="162" t="s">
        <v>43</v>
      </c>
      <c r="B72" s="163" t="s">
        <v>59</v>
      </c>
      <c r="C72" s="166" t="s">
        <v>133</v>
      </c>
      <c r="D72" s="169">
        <v>40819</v>
      </c>
      <c r="E72" s="176">
        <v>190205278.16</v>
      </c>
      <c r="F72" s="173">
        <v>181476691.6599999</v>
      </c>
      <c r="G72" s="107">
        <f>E72-F72</f>
        <v>8728586.50000009</v>
      </c>
      <c r="H72" s="182">
        <v>58865297.65</v>
      </c>
      <c r="I72" s="183">
        <v>32420.78</v>
      </c>
      <c r="J72" s="36">
        <f t="shared" si="6"/>
        <v>1442.1053345255884</v>
      </c>
      <c r="K72" s="37">
        <f t="shared" si="7"/>
        <v>0.7942570861608564</v>
      </c>
      <c r="L72" s="38">
        <f t="shared" si="8"/>
        <v>30.94829871150196</v>
      </c>
      <c r="M72" s="39">
        <f t="shared" si="9"/>
        <v>0.017045152644359195</v>
      </c>
    </row>
    <row r="73" spans="1:13" ht="13.5" thickBot="1">
      <c r="A73" s="480" t="s">
        <v>45</v>
      </c>
      <c r="B73" s="481"/>
      <c r="C73" s="482"/>
      <c r="D73" s="157">
        <f>SUM(D8:D72)</f>
        <v>12761564</v>
      </c>
      <c r="E73" s="184">
        <f>SUM(E8:E72)</f>
        <v>46873425168.899994</v>
      </c>
      <c r="F73" s="185">
        <f>SUM(F8:F72)</f>
        <v>45877113129.90001</v>
      </c>
      <c r="G73" s="186">
        <f>E73-F73</f>
        <v>996312038.9999847</v>
      </c>
      <c r="H73" s="187">
        <f>SUM(H8:H72)</f>
        <v>11258690371.079996</v>
      </c>
      <c r="I73" s="184">
        <f>SUM(I8:I72)</f>
        <v>48305273.470000006</v>
      </c>
      <c r="J73" s="40">
        <f t="shared" si="6"/>
        <v>882.2343696336903</v>
      </c>
      <c r="K73" s="41">
        <f t="shared" si="7"/>
        <v>3.785215783112478</v>
      </c>
      <c r="L73" s="42">
        <f t="shared" si="8"/>
        <v>24.01934642179726</v>
      </c>
      <c r="M73" s="43">
        <f t="shared" si="9"/>
        <v>0.10305471233634111</v>
      </c>
    </row>
    <row r="75" ht="12">
      <c r="A75" s="28" t="s">
        <v>503</v>
      </c>
    </row>
  </sheetData>
  <mergeCells count="16">
    <mergeCell ref="H4:H5"/>
    <mergeCell ref="E6:K6"/>
    <mergeCell ref="A4:A6"/>
    <mergeCell ref="B4:B6"/>
    <mergeCell ref="C4:C6"/>
    <mergeCell ref="D4:D6"/>
    <mergeCell ref="A1:M2"/>
    <mergeCell ref="L6:M6"/>
    <mergeCell ref="A73:C73"/>
    <mergeCell ref="J4:J5"/>
    <mergeCell ref="K4:K5"/>
    <mergeCell ref="L4:L5"/>
    <mergeCell ref="M4:M5"/>
    <mergeCell ref="E4:E5"/>
    <mergeCell ref="F4:F5"/>
    <mergeCell ref="G4:G5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89" r:id="rId1"/>
  <headerFooter alignWithMargins="0">
    <oddFooter>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2"/>
  <sheetViews>
    <sheetView showGridLines="0" workbookViewId="0" topLeftCell="B1">
      <selection activeCell="B1" sqref="B1:M1"/>
    </sheetView>
  </sheetViews>
  <sheetFormatPr defaultColWidth="9.140625" defaultRowHeight="12.75"/>
  <cols>
    <col min="1" max="1" width="5.7109375" style="311" hidden="1" customWidth="1"/>
    <col min="2" max="2" width="25.00390625" style="311" customWidth="1"/>
    <col min="3" max="3" width="13.8515625" style="311" customWidth="1"/>
    <col min="4" max="4" width="14.140625" style="311" customWidth="1"/>
    <col min="5" max="5" width="14.00390625" style="311" customWidth="1"/>
    <col min="6" max="6" width="13.140625" style="311" customWidth="1"/>
    <col min="7" max="7" width="12.421875" style="311" customWidth="1"/>
    <col min="8" max="9" width="12.28125" style="311" customWidth="1"/>
    <col min="10" max="10" width="11.140625" style="311" customWidth="1"/>
    <col min="11" max="11" width="7.421875" style="311" customWidth="1"/>
    <col min="12" max="12" width="7.28125" style="311" customWidth="1"/>
    <col min="13" max="13" width="8.140625" style="311" customWidth="1"/>
    <col min="14" max="16384" width="9.140625" style="311" customWidth="1"/>
  </cols>
  <sheetData>
    <row r="1" spans="2:13" ht="15.75">
      <c r="B1" s="420" t="s">
        <v>686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ht="12.75"/>
    <row r="3" spans="2:13" ht="66.75" customHeight="1">
      <c r="B3" s="419" t="s">
        <v>525</v>
      </c>
      <c r="C3" s="305" t="s">
        <v>610</v>
      </c>
      <c r="D3" s="305" t="s">
        <v>611</v>
      </c>
      <c r="E3" s="305" t="s">
        <v>612</v>
      </c>
      <c r="F3" s="305" t="s">
        <v>613</v>
      </c>
      <c r="G3" s="305" t="s">
        <v>614</v>
      </c>
      <c r="H3" s="305" t="s">
        <v>615</v>
      </c>
      <c r="I3" s="305" t="s">
        <v>616</v>
      </c>
      <c r="J3" s="305" t="s">
        <v>617</v>
      </c>
      <c r="K3" s="308" t="s">
        <v>526</v>
      </c>
      <c r="L3" s="305" t="s">
        <v>527</v>
      </c>
      <c r="M3" s="305" t="s">
        <v>528</v>
      </c>
    </row>
    <row r="4" spans="2:13" ht="12.75">
      <c r="B4" s="419"/>
      <c r="C4" s="415"/>
      <c r="D4" s="415"/>
      <c r="E4" s="415"/>
      <c r="F4" s="415"/>
      <c r="G4" s="415"/>
      <c r="H4" s="415"/>
      <c r="I4" s="415"/>
      <c r="J4" s="415"/>
      <c r="K4" s="415" t="s">
        <v>12</v>
      </c>
      <c r="L4" s="415"/>
      <c r="M4" s="415"/>
    </row>
    <row r="5" spans="2:13" ht="12.75">
      <c r="B5" s="308">
        <v>1</v>
      </c>
      <c r="C5" s="310">
        <v>2</v>
      </c>
      <c r="D5" s="310">
        <v>3</v>
      </c>
      <c r="E5" s="310">
        <v>4</v>
      </c>
      <c r="F5" s="308">
        <v>5</v>
      </c>
      <c r="G5" s="310">
        <v>6</v>
      </c>
      <c r="H5" s="308">
        <v>7</v>
      </c>
      <c r="I5" s="310">
        <v>8</v>
      </c>
      <c r="J5" s="308">
        <v>9</v>
      </c>
      <c r="K5" s="310">
        <v>10</v>
      </c>
      <c r="L5" s="308">
        <v>11</v>
      </c>
      <c r="M5" s="310">
        <v>12</v>
      </c>
    </row>
    <row r="6" spans="2:13" ht="12.75">
      <c r="B6" s="312" t="s">
        <v>529</v>
      </c>
      <c r="C6" s="313">
        <f>45583891610.63</f>
        <v>45583891610.63</v>
      </c>
      <c r="D6" s="313">
        <f>46873425168.9</f>
        <v>46873425168.9</v>
      </c>
      <c r="E6" s="313">
        <f>45921895508.36</f>
        <v>45921895508.36</v>
      </c>
      <c r="F6" s="313">
        <f>398944812.27</f>
        <v>398944812.27</v>
      </c>
      <c r="G6" s="313">
        <f>81488472</f>
        <v>81488472</v>
      </c>
      <c r="H6" s="313">
        <f>110120075.54</f>
        <v>110120075.54</v>
      </c>
      <c r="I6" s="313">
        <f>83101490.92</f>
        <v>83101490.92</v>
      </c>
      <c r="J6" s="313">
        <f>47190768.5</f>
        <v>47190768.5</v>
      </c>
      <c r="K6" s="314">
        <f aca="true" t="shared" si="0" ref="K6:K53">IF($D$6=0,"",100*$D6/$D$6)</f>
        <v>100</v>
      </c>
      <c r="L6" s="314">
        <f aca="true" t="shared" si="1" ref="L6:L53">IF(C6=0,"",100*D6/C6)</f>
        <v>102.82892379897044</v>
      </c>
      <c r="M6" s="314"/>
    </row>
    <row r="7" spans="2:13" ht="25.5" customHeight="1">
      <c r="B7" s="312" t="s">
        <v>530</v>
      </c>
      <c r="C7" s="313">
        <f>C6-C24-C44</f>
        <v>31424698710.32</v>
      </c>
      <c r="D7" s="313">
        <f>D6-D24-D44</f>
        <v>32959882516.010002</v>
      </c>
      <c r="E7" s="313">
        <f>E6-E24-E44</f>
        <v>31928532292.64</v>
      </c>
      <c r="F7" s="313">
        <f>F6</f>
        <v>398944812.27</v>
      </c>
      <c r="G7" s="313">
        <f>G6</f>
        <v>81488472</v>
      </c>
      <c r="H7" s="313">
        <f>H6</f>
        <v>110120075.54</v>
      </c>
      <c r="I7" s="313">
        <f>I6</f>
        <v>83101490.92</v>
      </c>
      <c r="J7" s="313">
        <f>J6</f>
        <v>47190768.5</v>
      </c>
      <c r="K7" s="314">
        <f t="shared" si="0"/>
        <v>70.31677842454431</v>
      </c>
      <c r="L7" s="314">
        <f t="shared" si="1"/>
        <v>104.88527772323825</v>
      </c>
      <c r="M7" s="314">
        <f aca="true" t="shared" si="2" ref="M7:M23">IF($D$7=0,"",100*$D7/$D$7)</f>
        <v>100</v>
      </c>
    </row>
    <row r="8" spans="2:13" ht="22.5">
      <c r="B8" s="315" t="s">
        <v>670</v>
      </c>
      <c r="C8" s="316">
        <f>1254284659</f>
        <v>1254284659</v>
      </c>
      <c r="D8" s="316">
        <f>1462730091.18</f>
        <v>1462730091.18</v>
      </c>
      <c r="E8" s="316">
        <f>1476812409.94</f>
        <v>1476812409.94</v>
      </c>
      <c r="F8" s="316">
        <f>0</f>
        <v>0</v>
      </c>
      <c r="G8" s="316">
        <f>0</f>
        <v>0</v>
      </c>
      <c r="H8" s="316">
        <f>0</f>
        <v>0</v>
      </c>
      <c r="I8" s="316">
        <f>0</f>
        <v>0</v>
      </c>
      <c r="J8" s="316">
        <f>0</f>
        <v>0</v>
      </c>
      <c r="K8" s="317">
        <f t="shared" si="0"/>
        <v>3.1205957019554553</v>
      </c>
      <c r="L8" s="317">
        <f t="shared" si="1"/>
        <v>116.61867030616374</v>
      </c>
      <c r="M8" s="317">
        <f t="shared" si="2"/>
        <v>4.437910512786234</v>
      </c>
    </row>
    <row r="9" spans="2:13" ht="33.75">
      <c r="B9" s="315" t="s">
        <v>671</v>
      </c>
      <c r="C9" s="316">
        <f>263047303</f>
        <v>263047303</v>
      </c>
      <c r="D9" s="316">
        <f>307538549.58</f>
        <v>307538549.58</v>
      </c>
      <c r="E9" s="316">
        <f>310971343.65</f>
        <v>310971343.65</v>
      </c>
      <c r="F9" s="316">
        <f>0</f>
        <v>0</v>
      </c>
      <c r="G9" s="316">
        <f>0</f>
        <v>0</v>
      </c>
      <c r="H9" s="316">
        <f>0</f>
        <v>0</v>
      </c>
      <c r="I9" s="316">
        <f>0</f>
        <v>0</v>
      </c>
      <c r="J9" s="316">
        <f>0</f>
        <v>0</v>
      </c>
      <c r="K9" s="317">
        <f t="shared" si="0"/>
        <v>0.656104281843795</v>
      </c>
      <c r="L9" s="317">
        <f t="shared" si="1"/>
        <v>116.91378169347739</v>
      </c>
      <c r="M9" s="317">
        <f t="shared" si="2"/>
        <v>0.93306931367433</v>
      </c>
    </row>
    <row r="10" spans="2:13" ht="22.5">
      <c r="B10" s="315" t="s">
        <v>672</v>
      </c>
      <c r="C10" s="316">
        <f>9462004864</f>
        <v>9462004864</v>
      </c>
      <c r="D10" s="316">
        <f>10024999536</f>
        <v>10024999536</v>
      </c>
      <c r="E10" s="316">
        <f>9594172157</f>
        <v>9594172157</v>
      </c>
      <c r="F10" s="316">
        <f>0</f>
        <v>0</v>
      </c>
      <c r="G10" s="316">
        <f>0</f>
        <v>0</v>
      </c>
      <c r="H10" s="316">
        <f>0</f>
        <v>0</v>
      </c>
      <c r="I10" s="316">
        <f>0</f>
        <v>0</v>
      </c>
      <c r="J10" s="316">
        <f>0</f>
        <v>0</v>
      </c>
      <c r="K10" s="317">
        <f t="shared" si="0"/>
        <v>21.38738421584663</v>
      </c>
      <c r="L10" s="317">
        <f t="shared" si="1"/>
        <v>105.95005688637956</v>
      </c>
      <c r="M10" s="317">
        <f t="shared" si="2"/>
        <v>30.4157623472427</v>
      </c>
    </row>
    <row r="11" spans="2:13" ht="22.5" customHeight="1">
      <c r="B11" s="315" t="s">
        <v>673</v>
      </c>
      <c r="C11" s="316">
        <f>2673381992</f>
        <v>2673381992</v>
      </c>
      <c r="D11" s="316">
        <f>2836782097</f>
        <v>2836782097</v>
      </c>
      <c r="E11" s="316">
        <f>2715755050</f>
        <v>2715755050</v>
      </c>
      <c r="F11" s="316">
        <f>0</f>
        <v>0</v>
      </c>
      <c r="G11" s="316">
        <f>0</f>
        <v>0</v>
      </c>
      <c r="H11" s="316">
        <f>0</f>
        <v>0</v>
      </c>
      <c r="I11" s="316">
        <f>0</f>
        <v>0</v>
      </c>
      <c r="J11" s="316">
        <f>0</f>
        <v>0</v>
      </c>
      <c r="K11" s="317">
        <f t="shared" si="0"/>
        <v>6.0520051324992</v>
      </c>
      <c r="L11" s="317">
        <f t="shared" si="1"/>
        <v>106.11211212946631</v>
      </c>
      <c r="M11" s="317">
        <f t="shared" si="2"/>
        <v>8.606772477487004</v>
      </c>
    </row>
    <row r="12" spans="2:13" ht="13.5" customHeight="1">
      <c r="B12" s="315" t="s">
        <v>533</v>
      </c>
      <c r="C12" s="316">
        <f>14762465</f>
        <v>14762465</v>
      </c>
      <c r="D12" s="316">
        <f>16074379.73</f>
        <v>16074379.73</v>
      </c>
      <c r="E12" s="316">
        <f>16074379.73</f>
        <v>16074379.73</v>
      </c>
      <c r="F12" s="316">
        <f>294986.25</f>
        <v>294986.25</v>
      </c>
      <c r="G12" s="316">
        <f>63892.76</f>
        <v>63892.76</v>
      </c>
      <c r="H12" s="316">
        <f>103522.54</f>
        <v>103522.54</v>
      </c>
      <c r="I12" s="316">
        <f>67820.57</f>
        <v>67820.57</v>
      </c>
      <c r="J12" s="316">
        <f>341.1</f>
        <v>341.1</v>
      </c>
      <c r="K12" s="317">
        <f t="shared" si="0"/>
        <v>0.03429316221735205</v>
      </c>
      <c r="L12" s="317">
        <f t="shared" si="1"/>
        <v>108.88682703058059</v>
      </c>
      <c r="M12" s="317">
        <f t="shared" si="2"/>
        <v>0.04876952981307502</v>
      </c>
    </row>
    <row r="13" spans="2:13" ht="13.5" customHeight="1">
      <c r="B13" s="315" t="s">
        <v>534</v>
      </c>
      <c r="C13" s="316">
        <f>4978529680</f>
        <v>4978529680</v>
      </c>
      <c r="D13" s="318">
        <f>5106860105.96</f>
        <v>5106860105.96</v>
      </c>
      <c r="E13" s="316">
        <f>5106858801.96</f>
        <v>5106858801.96</v>
      </c>
      <c r="F13" s="316">
        <f>314354710.99</f>
        <v>314354710.99</v>
      </c>
      <c r="G13" s="316">
        <f>81042573.92</f>
        <v>81042573.92</v>
      </c>
      <c r="H13" s="316">
        <f>80162392.6</f>
        <v>80162392.6</v>
      </c>
      <c r="I13" s="316">
        <f>60828522.16</f>
        <v>60828522.16</v>
      </c>
      <c r="J13" s="316">
        <f>22907998.3</f>
        <v>22907998.3</v>
      </c>
      <c r="K13" s="317">
        <f t="shared" si="0"/>
        <v>10.895000925488896</v>
      </c>
      <c r="L13" s="317">
        <f t="shared" si="1"/>
        <v>102.5776772301978</v>
      </c>
      <c r="M13" s="317">
        <f t="shared" si="2"/>
        <v>15.494169627210846</v>
      </c>
    </row>
    <row r="14" spans="2:13" ht="13.5" customHeight="1">
      <c r="B14" s="315" t="s">
        <v>535</v>
      </c>
      <c r="C14" s="316">
        <f>1301158</f>
        <v>1301158</v>
      </c>
      <c r="D14" s="318">
        <f>1427598.98</f>
        <v>1427598.98</v>
      </c>
      <c r="E14" s="316">
        <f>1427598.98</f>
        <v>1427598.98</v>
      </c>
      <c r="F14" s="316">
        <f>12557.5</f>
        <v>12557.5</v>
      </c>
      <c r="G14" s="316">
        <f>8959.7</f>
        <v>8959.7</v>
      </c>
      <c r="H14" s="316">
        <f>1163.64</f>
        <v>1163.64</v>
      </c>
      <c r="I14" s="316">
        <f>10.5</f>
        <v>10.5</v>
      </c>
      <c r="J14" s="316">
        <f>0</f>
        <v>0</v>
      </c>
      <c r="K14" s="317">
        <f t="shared" si="0"/>
        <v>0.003045646813425523</v>
      </c>
      <c r="L14" s="317">
        <f t="shared" si="1"/>
        <v>109.71757311564006</v>
      </c>
      <c r="M14" s="317">
        <f t="shared" si="2"/>
        <v>0.00433132302369875</v>
      </c>
    </row>
    <row r="15" spans="2:13" ht="22.5" customHeight="1">
      <c r="B15" s="315" t="s">
        <v>536</v>
      </c>
      <c r="C15" s="316">
        <f>313114364</f>
        <v>313114364</v>
      </c>
      <c r="D15" s="318">
        <f>324447133.56</f>
        <v>324447133.56</v>
      </c>
      <c r="E15" s="316">
        <f>324444622.56</f>
        <v>324444622.56</v>
      </c>
      <c r="F15" s="316">
        <f>82799736.22</f>
        <v>82799736.22</v>
      </c>
      <c r="G15" s="316">
        <f>131193.84</f>
        <v>131193.84</v>
      </c>
      <c r="H15" s="316">
        <f>2007520.32</f>
        <v>2007520.32</v>
      </c>
      <c r="I15" s="316">
        <f>3214959.23</f>
        <v>3214959.23</v>
      </c>
      <c r="J15" s="316">
        <f>6020</f>
        <v>6020</v>
      </c>
      <c r="K15" s="317">
        <f t="shared" si="0"/>
        <v>0.6921771395858374</v>
      </c>
      <c r="L15" s="317">
        <f t="shared" si="1"/>
        <v>103.61937070379818</v>
      </c>
      <c r="M15" s="317">
        <f t="shared" si="2"/>
        <v>0.9843698120052533</v>
      </c>
    </row>
    <row r="16" spans="2:13" ht="33" customHeight="1">
      <c r="B16" s="315" t="s">
        <v>537</v>
      </c>
      <c r="C16" s="316">
        <f>54067675.58</f>
        <v>54067675.58</v>
      </c>
      <c r="D16" s="318">
        <f>54545106.62</f>
        <v>54545106.62</v>
      </c>
      <c r="E16" s="316">
        <f>55126116.51</f>
        <v>55126116.51</v>
      </c>
      <c r="F16" s="316">
        <f>0</f>
        <v>0</v>
      </c>
      <c r="G16" s="316">
        <f>0</f>
        <v>0</v>
      </c>
      <c r="H16" s="316">
        <f>361886.45</f>
        <v>361886.45</v>
      </c>
      <c r="I16" s="316">
        <f>489597.15</f>
        <v>489597.15</v>
      </c>
      <c r="J16" s="316">
        <f>0</f>
        <v>0</v>
      </c>
      <c r="K16" s="317">
        <f t="shared" si="0"/>
        <v>0.11636680362797569</v>
      </c>
      <c r="L16" s="317">
        <f t="shared" si="1"/>
        <v>100.88302490328734</v>
      </c>
      <c r="M16" s="317">
        <f t="shared" si="2"/>
        <v>0.16548938423401585</v>
      </c>
    </row>
    <row r="17" spans="2:13" ht="13.5" customHeight="1">
      <c r="B17" s="315" t="s">
        <v>538</v>
      </c>
      <c r="C17" s="316">
        <f>119142136.5</f>
        <v>119142136.5</v>
      </c>
      <c r="D17" s="318">
        <f>200557640</f>
        <v>200557640</v>
      </c>
      <c r="E17" s="316">
        <f>205036959.78</f>
        <v>205036959.78</v>
      </c>
      <c r="F17" s="316">
        <f>0</f>
        <v>0</v>
      </c>
      <c r="G17" s="316">
        <f>12753</f>
        <v>12753</v>
      </c>
      <c r="H17" s="316">
        <f>2337139.11</f>
        <v>2337139.11</v>
      </c>
      <c r="I17" s="316">
        <f>7461760.37</f>
        <v>7461760.37</v>
      </c>
      <c r="J17" s="316">
        <f>0</f>
        <v>0</v>
      </c>
      <c r="K17" s="317">
        <f t="shared" si="0"/>
        <v>0.4278706735795953</v>
      </c>
      <c r="L17" s="317">
        <f t="shared" si="1"/>
        <v>168.33476878266322</v>
      </c>
      <c r="M17" s="317">
        <f t="shared" si="2"/>
        <v>0.6084901543644178</v>
      </c>
    </row>
    <row r="18" spans="2:13" ht="22.5" customHeight="1">
      <c r="B18" s="315" t="s">
        <v>539</v>
      </c>
      <c r="C18" s="316">
        <f>1267520310</f>
        <v>1267520310</v>
      </c>
      <c r="D18" s="318">
        <f>1696911254.55</f>
        <v>1696911254.55</v>
      </c>
      <c r="E18" s="316">
        <f>1713192758.67</f>
        <v>1713192758.67</v>
      </c>
      <c r="F18" s="316">
        <f>0</f>
        <v>0</v>
      </c>
      <c r="G18" s="316">
        <f>0</f>
        <v>0</v>
      </c>
      <c r="H18" s="316">
        <f>40371.2</f>
        <v>40371.2</v>
      </c>
      <c r="I18" s="316">
        <f>485809.75</f>
        <v>485809.75</v>
      </c>
      <c r="J18" s="316">
        <f>0</f>
        <v>0</v>
      </c>
      <c r="K18" s="317">
        <f t="shared" si="0"/>
        <v>3.6201989686810467</v>
      </c>
      <c r="L18" s="317">
        <f t="shared" si="1"/>
        <v>133.8764547725472</v>
      </c>
      <c r="M18" s="317">
        <f t="shared" si="2"/>
        <v>5.148414147792362</v>
      </c>
    </row>
    <row r="19" spans="2:13" ht="13.5" customHeight="1">
      <c r="B19" s="315" t="s">
        <v>674</v>
      </c>
      <c r="C19" s="316">
        <f>307162104</f>
        <v>307162104</v>
      </c>
      <c r="D19" s="318">
        <f>314959067.45</f>
        <v>314959067.45</v>
      </c>
      <c r="E19" s="316">
        <f>313356953.35</f>
        <v>313356953.35</v>
      </c>
      <c r="F19" s="316">
        <f>0</f>
        <v>0</v>
      </c>
      <c r="G19" s="316">
        <f>0</f>
        <v>0</v>
      </c>
      <c r="H19" s="316">
        <f>25810.74</f>
        <v>25810.74</v>
      </c>
      <c r="I19" s="316">
        <f>9666.4</f>
        <v>9666.4</v>
      </c>
      <c r="J19" s="316">
        <f>0</f>
        <v>0</v>
      </c>
      <c r="K19" s="317">
        <f t="shared" si="0"/>
        <v>0.671935251830011</v>
      </c>
      <c r="L19" s="317">
        <f t="shared" si="1"/>
        <v>102.53838717356878</v>
      </c>
      <c r="M19" s="317">
        <f t="shared" si="2"/>
        <v>0.9555831010532612</v>
      </c>
    </row>
    <row r="20" spans="2:13" ht="13.5" customHeight="1">
      <c r="B20" s="315" t="s">
        <v>675</v>
      </c>
      <c r="C20" s="316">
        <f>7133199.86</f>
        <v>7133199.86</v>
      </c>
      <c r="D20" s="318">
        <f>7222731.84</f>
        <v>7222731.84</v>
      </c>
      <c r="E20" s="316">
        <f>7222531.04</f>
        <v>7222531.04</v>
      </c>
      <c r="F20" s="316">
        <f>0</f>
        <v>0</v>
      </c>
      <c r="G20" s="316">
        <f>0</f>
        <v>0</v>
      </c>
      <c r="H20" s="316">
        <f>0</f>
        <v>0</v>
      </c>
      <c r="I20" s="316">
        <f>0</f>
        <v>0</v>
      </c>
      <c r="J20" s="316">
        <f>0</f>
        <v>0</v>
      </c>
      <c r="K20" s="317">
        <f t="shared" si="0"/>
        <v>0.015409012279290831</v>
      </c>
      <c r="L20" s="317">
        <f t="shared" si="1"/>
        <v>101.25514470023555</v>
      </c>
      <c r="M20" s="317">
        <f t="shared" si="2"/>
        <v>0.021913706265462612</v>
      </c>
    </row>
    <row r="21" spans="2:13" ht="13.5" customHeight="1">
      <c r="B21" s="315" t="s">
        <v>676</v>
      </c>
      <c r="C21" s="316">
        <f>82422703</f>
        <v>82422703</v>
      </c>
      <c r="D21" s="318">
        <f>80073106.84</f>
        <v>80073106.84</v>
      </c>
      <c r="E21" s="316">
        <f>80073106.84</f>
        <v>80073106.84</v>
      </c>
      <c r="F21" s="316">
        <f>0</f>
        <v>0</v>
      </c>
      <c r="G21" s="316">
        <f>3204</f>
        <v>3204</v>
      </c>
      <c r="H21" s="316">
        <f>425584.9</f>
        <v>425584.9</v>
      </c>
      <c r="I21" s="316">
        <f>7038.5</f>
        <v>7038.5</v>
      </c>
      <c r="J21" s="316">
        <f>0</f>
        <v>0</v>
      </c>
      <c r="K21" s="317">
        <f t="shared" si="0"/>
        <v>0.17082836714294056</v>
      </c>
      <c r="L21" s="317">
        <f t="shared" si="1"/>
        <v>97.14933377033267</v>
      </c>
      <c r="M21" s="317">
        <f t="shared" si="2"/>
        <v>0.24294111728433837</v>
      </c>
    </row>
    <row r="22" spans="2:13" ht="13.5" customHeight="1">
      <c r="B22" s="315" t="s">
        <v>543</v>
      </c>
      <c r="C22" s="316">
        <f>3110447705.52</f>
        <v>3110447705.52</v>
      </c>
      <c r="D22" s="318">
        <f>3295278343.23</f>
        <v>3295278343.23</v>
      </c>
      <c r="E22" s="316">
        <f>3128957117.89</f>
        <v>3128957117.89</v>
      </c>
      <c r="F22" s="316">
        <f>0</f>
        <v>0</v>
      </c>
      <c r="G22" s="316">
        <f>42997.5</f>
        <v>42997.5</v>
      </c>
      <c r="H22" s="316">
        <f>0</f>
        <v>0</v>
      </c>
      <c r="I22" s="316">
        <f>0</f>
        <v>0</v>
      </c>
      <c r="J22" s="316">
        <f>0</f>
        <v>0</v>
      </c>
      <c r="K22" s="317">
        <f t="shared" si="0"/>
        <v>7.03016332038048</v>
      </c>
      <c r="L22" s="317">
        <f t="shared" si="1"/>
        <v>105.94225189454198</v>
      </c>
      <c r="M22" s="317">
        <f t="shared" si="2"/>
        <v>9.99784614410972</v>
      </c>
    </row>
    <row r="23" spans="2:13" ht="13.5" customHeight="1">
      <c r="B23" s="315" t="s">
        <v>544</v>
      </c>
      <c r="C23" s="316">
        <f aca="true" t="shared" si="3" ref="C23:J23">C7-SUM(C8:C22)</f>
        <v>7516376390.859997</v>
      </c>
      <c r="D23" s="316">
        <f t="shared" si="3"/>
        <v>7229475773.490002</v>
      </c>
      <c r="E23" s="316">
        <f t="shared" si="3"/>
        <v>6879050384.740002</v>
      </c>
      <c r="F23" s="316">
        <f t="shared" si="3"/>
        <v>1482821.3099999428</v>
      </c>
      <c r="G23" s="316">
        <f t="shared" si="3"/>
        <v>182897.2799999863</v>
      </c>
      <c r="H23" s="316">
        <f t="shared" si="3"/>
        <v>24654684.040000007</v>
      </c>
      <c r="I23" s="316">
        <f t="shared" si="3"/>
        <v>10536306.290000007</v>
      </c>
      <c r="J23" s="316">
        <f t="shared" si="3"/>
        <v>24276409.099999998</v>
      </c>
      <c r="K23" s="317">
        <f t="shared" si="0"/>
        <v>15.423399820772385</v>
      </c>
      <c r="L23" s="317">
        <f t="shared" si="1"/>
        <v>96.18299294166708</v>
      </c>
      <c r="M23" s="317">
        <f t="shared" si="2"/>
        <v>21.934167301653275</v>
      </c>
    </row>
    <row r="24" spans="2:13" ht="25.5" customHeight="1">
      <c r="B24" s="312" t="s">
        <v>545</v>
      </c>
      <c r="C24" s="313">
        <f>C25+C32+C39</f>
        <v>4832226276.309999</v>
      </c>
      <c r="D24" s="313">
        <f>D25+D32+D39</f>
        <v>4586591990.85</v>
      </c>
      <c r="E24" s="313">
        <f>E25+E32+E39</f>
        <v>4607147410.68</v>
      </c>
      <c r="F24" s="316" t="s">
        <v>546</v>
      </c>
      <c r="G24" s="316" t="s">
        <v>546</v>
      </c>
      <c r="H24" s="316" t="s">
        <v>546</v>
      </c>
      <c r="I24" s="316" t="s">
        <v>546</v>
      </c>
      <c r="J24" s="316" t="s">
        <v>546</v>
      </c>
      <c r="K24" s="314">
        <f t="shared" si="0"/>
        <v>9.785058323182138</v>
      </c>
      <c r="L24" s="314">
        <f t="shared" si="1"/>
        <v>94.91674703512496</v>
      </c>
      <c r="M24" s="319"/>
    </row>
    <row r="25" spans="2:13" ht="13.5" customHeight="1">
      <c r="B25" s="360" t="s">
        <v>677</v>
      </c>
      <c r="C25" s="313">
        <f>C26+C28+C30</f>
        <v>3116569596.68</v>
      </c>
      <c r="D25" s="313">
        <f>D26+D28+D30</f>
        <v>2950714755.83</v>
      </c>
      <c r="E25" s="313">
        <f>E26+E28+E30</f>
        <v>2967505847.0000005</v>
      </c>
      <c r="F25" s="316" t="s">
        <v>546</v>
      </c>
      <c r="G25" s="316" t="s">
        <v>546</v>
      </c>
      <c r="H25" s="316" t="s">
        <v>546</v>
      </c>
      <c r="I25" s="316" t="s">
        <v>546</v>
      </c>
      <c r="J25" s="316" t="s">
        <v>546</v>
      </c>
      <c r="K25" s="314">
        <f t="shared" si="0"/>
        <v>6.295069637428089</v>
      </c>
      <c r="L25" s="314">
        <f t="shared" si="1"/>
        <v>94.678288557179</v>
      </c>
      <c r="M25" s="319"/>
    </row>
    <row r="26" spans="2:13" ht="14.25" customHeight="1">
      <c r="B26" s="315" t="s">
        <v>678</v>
      </c>
      <c r="C26" s="316">
        <f>2455513099.58</f>
        <v>2455513099.58</v>
      </c>
      <c r="D26" s="318">
        <f>2331302504.3</f>
        <v>2331302504.3</v>
      </c>
      <c r="E26" s="316">
        <f>2340592196.76</f>
        <v>2340592196.76</v>
      </c>
      <c r="F26" s="316" t="s">
        <v>546</v>
      </c>
      <c r="G26" s="316" t="s">
        <v>546</v>
      </c>
      <c r="H26" s="316" t="s">
        <v>546</v>
      </c>
      <c r="I26" s="316" t="s">
        <v>546</v>
      </c>
      <c r="J26" s="316" t="s">
        <v>546</v>
      </c>
      <c r="K26" s="317">
        <f t="shared" si="0"/>
        <v>4.973612437963663</v>
      </c>
      <c r="L26" s="317">
        <f t="shared" si="1"/>
        <v>94.94156250678341</v>
      </c>
      <c r="M26" s="319"/>
    </row>
    <row r="27" spans="2:13" ht="13.5" customHeight="1">
      <c r="B27" s="320" t="s">
        <v>548</v>
      </c>
      <c r="C27" s="316">
        <f>2003423</f>
        <v>2003423</v>
      </c>
      <c r="D27" s="316">
        <f>1841219.92</f>
        <v>1841219.92</v>
      </c>
      <c r="E27" s="316">
        <f>1841220.26</f>
        <v>1841220.26</v>
      </c>
      <c r="F27" s="316" t="s">
        <v>546</v>
      </c>
      <c r="G27" s="316" t="s">
        <v>546</v>
      </c>
      <c r="H27" s="316" t="s">
        <v>546</v>
      </c>
      <c r="I27" s="316" t="s">
        <v>546</v>
      </c>
      <c r="J27" s="316" t="s">
        <v>546</v>
      </c>
      <c r="K27" s="317">
        <f t="shared" si="0"/>
        <v>0.003928067798257741</v>
      </c>
      <c r="L27" s="317">
        <f t="shared" si="1"/>
        <v>91.90370281263617</v>
      </c>
      <c r="M27" s="319"/>
    </row>
    <row r="28" spans="2:13" ht="13.5" customHeight="1">
      <c r="B28" s="315" t="s">
        <v>549</v>
      </c>
      <c r="C28" s="316">
        <f>649664451.1</f>
        <v>649664451.1</v>
      </c>
      <c r="D28" s="318">
        <f>608696474.56</f>
        <v>608696474.56</v>
      </c>
      <c r="E28" s="316">
        <f>616160288.84</f>
        <v>616160288.84</v>
      </c>
      <c r="F28" s="316" t="s">
        <v>546</v>
      </c>
      <c r="G28" s="316" t="s">
        <v>546</v>
      </c>
      <c r="H28" s="316" t="s">
        <v>546</v>
      </c>
      <c r="I28" s="316" t="s">
        <v>546</v>
      </c>
      <c r="J28" s="316" t="s">
        <v>546</v>
      </c>
      <c r="K28" s="317">
        <f t="shared" si="0"/>
        <v>1.298596107211434</v>
      </c>
      <c r="L28" s="317">
        <f t="shared" si="1"/>
        <v>93.69397902707561</v>
      </c>
      <c r="M28" s="319"/>
    </row>
    <row r="29" spans="2:13" ht="13.5" customHeight="1">
      <c r="B29" s="320" t="s">
        <v>548</v>
      </c>
      <c r="C29" s="316">
        <f>49488847.1</f>
        <v>49488847.1</v>
      </c>
      <c r="D29" s="316">
        <f>47559580.98</f>
        <v>47559580.98</v>
      </c>
      <c r="E29" s="316">
        <f>47560640.48</f>
        <v>47560640.48</v>
      </c>
      <c r="F29" s="316" t="s">
        <v>546</v>
      </c>
      <c r="G29" s="316" t="s">
        <v>546</v>
      </c>
      <c r="H29" s="316" t="s">
        <v>546</v>
      </c>
      <c r="I29" s="316" t="s">
        <v>546</v>
      </c>
      <c r="J29" s="316" t="s">
        <v>546</v>
      </c>
      <c r="K29" s="317">
        <f t="shared" si="0"/>
        <v>0.10146384824370645</v>
      </c>
      <c r="L29" s="317">
        <f t="shared" si="1"/>
        <v>96.10161433726347</v>
      </c>
      <c r="M29" s="319"/>
    </row>
    <row r="30" spans="2:13" ht="33" customHeight="1">
      <c r="B30" s="315" t="s">
        <v>550</v>
      </c>
      <c r="C30" s="316">
        <f>11392046</f>
        <v>11392046</v>
      </c>
      <c r="D30" s="318">
        <f>10715776.97</f>
        <v>10715776.97</v>
      </c>
      <c r="E30" s="316">
        <f>10753361.4</f>
        <v>10753361.4</v>
      </c>
      <c r="F30" s="316" t="s">
        <v>546</v>
      </c>
      <c r="G30" s="316" t="s">
        <v>546</v>
      </c>
      <c r="H30" s="316" t="s">
        <v>546</v>
      </c>
      <c r="I30" s="316" t="s">
        <v>546</v>
      </c>
      <c r="J30" s="316" t="s">
        <v>546</v>
      </c>
      <c r="K30" s="317">
        <f t="shared" si="0"/>
        <v>0.022861092252993282</v>
      </c>
      <c r="L30" s="317">
        <f t="shared" si="1"/>
        <v>94.06367363685155</v>
      </c>
      <c r="M30" s="319"/>
    </row>
    <row r="31" spans="2:13" ht="13.5" customHeight="1">
      <c r="B31" s="320" t="s">
        <v>548</v>
      </c>
      <c r="C31" s="316">
        <f>73195</f>
        <v>73195</v>
      </c>
      <c r="D31" s="316">
        <f>73195</f>
        <v>73195</v>
      </c>
      <c r="E31" s="316">
        <f>73195</f>
        <v>73195</v>
      </c>
      <c r="F31" s="316" t="s">
        <v>546</v>
      </c>
      <c r="G31" s="316" t="s">
        <v>546</v>
      </c>
      <c r="H31" s="316" t="s">
        <v>546</v>
      </c>
      <c r="I31" s="316" t="s">
        <v>546</v>
      </c>
      <c r="J31" s="316" t="s">
        <v>546</v>
      </c>
      <c r="K31" s="317">
        <f t="shared" si="0"/>
        <v>0.00015615457956455052</v>
      </c>
      <c r="L31" s="317">
        <f t="shared" si="1"/>
        <v>100</v>
      </c>
      <c r="M31" s="319"/>
    </row>
    <row r="32" spans="2:13" ht="13.5" customHeight="1">
      <c r="B32" s="360" t="s">
        <v>679</v>
      </c>
      <c r="C32" s="313">
        <f>C33+C35+C37</f>
        <v>1348553466.7099998</v>
      </c>
      <c r="D32" s="313">
        <f>D33+D35+D37</f>
        <v>1287776904.69</v>
      </c>
      <c r="E32" s="313">
        <f>E33+E35+E37</f>
        <v>1291379918.9499998</v>
      </c>
      <c r="F32" s="316" t="s">
        <v>546</v>
      </c>
      <c r="G32" s="316" t="s">
        <v>546</v>
      </c>
      <c r="H32" s="316" t="s">
        <v>546</v>
      </c>
      <c r="I32" s="316" t="s">
        <v>546</v>
      </c>
      <c r="J32" s="316" t="s">
        <v>546</v>
      </c>
      <c r="K32" s="314">
        <f t="shared" si="0"/>
        <v>2.747349697722593</v>
      </c>
      <c r="L32" s="314">
        <f t="shared" si="1"/>
        <v>95.49320338271248</v>
      </c>
      <c r="M32" s="319"/>
    </row>
    <row r="33" spans="2:13" ht="14.25" customHeight="1">
      <c r="B33" s="315" t="s">
        <v>678</v>
      </c>
      <c r="C33" s="316">
        <f>903400413</f>
        <v>903400413</v>
      </c>
      <c r="D33" s="316">
        <f>889039337.97</f>
        <v>889039337.97</v>
      </c>
      <c r="E33" s="316">
        <f>892099597.41</f>
        <v>892099597.41</v>
      </c>
      <c r="F33" s="316" t="s">
        <v>546</v>
      </c>
      <c r="G33" s="316" t="s">
        <v>546</v>
      </c>
      <c r="H33" s="316" t="s">
        <v>546</v>
      </c>
      <c r="I33" s="316" t="s">
        <v>546</v>
      </c>
      <c r="J33" s="316" t="s">
        <v>546</v>
      </c>
      <c r="K33" s="317">
        <f t="shared" si="0"/>
        <v>1.8966809759826722</v>
      </c>
      <c r="L33" s="317">
        <f t="shared" si="1"/>
        <v>98.41033114183445</v>
      </c>
      <c r="M33" s="319"/>
    </row>
    <row r="34" spans="2:13" ht="13.5" customHeight="1">
      <c r="B34" s="320" t="s">
        <v>548</v>
      </c>
      <c r="C34" s="316">
        <f>72512739</f>
        <v>72512739</v>
      </c>
      <c r="D34" s="318">
        <f>68397037.91</f>
        <v>68397037.91</v>
      </c>
      <c r="E34" s="316">
        <f>68397223.03</f>
        <v>68397223.03</v>
      </c>
      <c r="F34" s="316" t="s">
        <v>546</v>
      </c>
      <c r="G34" s="316" t="s">
        <v>546</v>
      </c>
      <c r="H34" s="316" t="s">
        <v>546</v>
      </c>
      <c r="I34" s="316" t="s">
        <v>546</v>
      </c>
      <c r="J34" s="316" t="s">
        <v>546</v>
      </c>
      <c r="K34" s="317">
        <f t="shared" si="0"/>
        <v>0.1459185832132888</v>
      </c>
      <c r="L34" s="317">
        <f t="shared" si="1"/>
        <v>94.32416821270536</v>
      </c>
      <c r="M34" s="319"/>
    </row>
    <row r="35" spans="2:13" ht="13.5" customHeight="1">
      <c r="B35" s="315" t="s">
        <v>549</v>
      </c>
      <c r="C35" s="316">
        <f>400225275.14</f>
        <v>400225275.14</v>
      </c>
      <c r="D35" s="316">
        <f>370116028.66</f>
        <v>370116028.66</v>
      </c>
      <c r="E35" s="316">
        <f>370632650.18</f>
        <v>370632650.18</v>
      </c>
      <c r="F35" s="316" t="s">
        <v>546</v>
      </c>
      <c r="G35" s="316" t="s">
        <v>546</v>
      </c>
      <c r="H35" s="316" t="s">
        <v>546</v>
      </c>
      <c r="I35" s="316" t="s">
        <v>546</v>
      </c>
      <c r="J35" s="316" t="s">
        <v>546</v>
      </c>
      <c r="K35" s="317">
        <f t="shared" si="0"/>
        <v>0.7896073891044939</v>
      </c>
      <c r="L35" s="317">
        <f t="shared" si="1"/>
        <v>92.47692528427454</v>
      </c>
      <c r="M35" s="319"/>
    </row>
    <row r="36" spans="2:13" ht="13.5" customHeight="1">
      <c r="B36" s="320" t="s">
        <v>548</v>
      </c>
      <c r="C36" s="316">
        <f>111961764</f>
        <v>111961764</v>
      </c>
      <c r="D36" s="318">
        <f>83554827.01</f>
        <v>83554827.01</v>
      </c>
      <c r="E36" s="316">
        <f>83558142.28</f>
        <v>83558142.28</v>
      </c>
      <c r="F36" s="316" t="s">
        <v>546</v>
      </c>
      <c r="G36" s="316" t="s">
        <v>546</v>
      </c>
      <c r="H36" s="316" t="s">
        <v>546</v>
      </c>
      <c r="I36" s="316" t="s">
        <v>546</v>
      </c>
      <c r="J36" s="316" t="s">
        <v>546</v>
      </c>
      <c r="K36" s="317">
        <f t="shared" si="0"/>
        <v>0.178256286390263</v>
      </c>
      <c r="L36" s="317">
        <f t="shared" si="1"/>
        <v>74.62800158275464</v>
      </c>
      <c r="M36" s="319"/>
    </row>
    <row r="37" spans="2:13" ht="33" customHeight="1">
      <c r="B37" s="315" t="s">
        <v>550</v>
      </c>
      <c r="C37" s="316">
        <f>44927778.57</f>
        <v>44927778.57</v>
      </c>
      <c r="D37" s="316">
        <f>28621538.06</f>
        <v>28621538.06</v>
      </c>
      <c r="E37" s="316">
        <f>28647671.36</f>
        <v>28647671.36</v>
      </c>
      <c r="F37" s="316" t="s">
        <v>546</v>
      </c>
      <c r="G37" s="316" t="s">
        <v>546</v>
      </c>
      <c r="H37" s="316" t="s">
        <v>546</v>
      </c>
      <c r="I37" s="316" t="s">
        <v>546</v>
      </c>
      <c r="J37" s="316" t="s">
        <v>546</v>
      </c>
      <c r="K37" s="317">
        <f t="shared" si="0"/>
        <v>0.06106133263542702</v>
      </c>
      <c r="L37" s="317">
        <f t="shared" si="1"/>
        <v>63.705660442138345</v>
      </c>
      <c r="M37" s="319"/>
    </row>
    <row r="38" spans="2:13" ht="13.5" customHeight="1">
      <c r="B38" s="320" t="s">
        <v>548</v>
      </c>
      <c r="C38" s="316">
        <f>31821751</f>
        <v>31821751</v>
      </c>
      <c r="D38" s="318">
        <f>16024965.56</f>
        <v>16024965.56</v>
      </c>
      <c r="E38" s="316">
        <f>16026878.56</f>
        <v>16026878.56</v>
      </c>
      <c r="F38" s="316" t="s">
        <v>546</v>
      </c>
      <c r="G38" s="316" t="s">
        <v>546</v>
      </c>
      <c r="H38" s="316" t="s">
        <v>546</v>
      </c>
      <c r="I38" s="316" t="s">
        <v>546</v>
      </c>
      <c r="J38" s="316" t="s">
        <v>546</v>
      </c>
      <c r="K38" s="317">
        <f t="shared" si="0"/>
        <v>0.03418774177960519</v>
      </c>
      <c r="L38" s="317">
        <f t="shared" si="1"/>
        <v>50.358528542316854</v>
      </c>
      <c r="M38" s="319"/>
    </row>
    <row r="39" spans="2:13" ht="13.5" customHeight="1">
      <c r="B39" s="360" t="s">
        <v>680</v>
      </c>
      <c r="C39" s="313">
        <f>C40+C42</f>
        <v>367103212.92</v>
      </c>
      <c r="D39" s="313">
        <f>D40+D42</f>
        <v>348100330.33</v>
      </c>
      <c r="E39" s="313">
        <f>E40+E42</f>
        <v>348261644.73</v>
      </c>
      <c r="F39" s="316" t="s">
        <v>546</v>
      </c>
      <c r="G39" s="316" t="s">
        <v>546</v>
      </c>
      <c r="H39" s="316" t="s">
        <v>546</v>
      </c>
      <c r="I39" s="316" t="s">
        <v>546</v>
      </c>
      <c r="J39" s="316" t="s">
        <v>546</v>
      </c>
      <c r="K39" s="314">
        <f t="shared" si="0"/>
        <v>0.7426389880314543</v>
      </c>
      <c r="L39" s="314">
        <f t="shared" si="1"/>
        <v>94.82355862841736</v>
      </c>
      <c r="M39" s="319"/>
    </row>
    <row r="40" spans="2:13" ht="33" customHeight="1">
      <c r="B40" s="315" t="s">
        <v>551</v>
      </c>
      <c r="C40" s="316">
        <f>268273282.15</f>
        <v>268273282.15</v>
      </c>
      <c r="D40" s="318">
        <f>257714667.37</f>
        <v>257714667.37</v>
      </c>
      <c r="E40" s="316">
        <f>258553331.49</f>
        <v>258553331.49</v>
      </c>
      <c r="F40" s="316" t="s">
        <v>546</v>
      </c>
      <c r="G40" s="316" t="s">
        <v>546</v>
      </c>
      <c r="H40" s="316" t="s">
        <v>546</v>
      </c>
      <c r="I40" s="316" t="s">
        <v>546</v>
      </c>
      <c r="J40" s="316" t="s">
        <v>546</v>
      </c>
      <c r="K40" s="317">
        <f t="shared" si="0"/>
        <v>0.5498097620162625</v>
      </c>
      <c r="L40" s="317">
        <f t="shared" si="1"/>
        <v>96.06423170604953</v>
      </c>
      <c r="M40" s="319"/>
    </row>
    <row r="41" spans="2:13" ht="13.5" customHeight="1">
      <c r="B41" s="320" t="s">
        <v>548</v>
      </c>
      <c r="C41" s="316">
        <f>92326151</f>
        <v>92326151</v>
      </c>
      <c r="D41" s="316">
        <f>80641374.26</f>
        <v>80641374.26</v>
      </c>
      <c r="E41" s="316">
        <f>82081374.26</f>
        <v>82081374.26</v>
      </c>
      <c r="F41" s="316" t="s">
        <v>546</v>
      </c>
      <c r="G41" s="316" t="s">
        <v>546</v>
      </c>
      <c r="H41" s="316" t="s">
        <v>546</v>
      </c>
      <c r="I41" s="316" t="s">
        <v>546</v>
      </c>
      <c r="J41" s="316" t="s">
        <v>546</v>
      </c>
      <c r="K41" s="317">
        <f t="shared" si="0"/>
        <v>0.17204071170268279</v>
      </c>
      <c r="L41" s="317">
        <f t="shared" si="1"/>
        <v>87.34402267024</v>
      </c>
      <c r="M41" s="319"/>
    </row>
    <row r="42" spans="2:13" ht="19.5" customHeight="1">
      <c r="B42" s="315" t="s">
        <v>552</v>
      </c>
      <c r="C42" s="316">
        <f>98829930.77</f>
        <v>98829930.77</v>
      </c>
      <c r="D42" s="318">
        <f>90385662.96</f>
        <v>90385662.96</v>
      </c>
      <c r="E42" s="316">
        <f>89708313.24</f>
        <v>89708313.24</v>
      </c>
      <c r="F42" s="316" t="s">
        <v>546</v>
      </c>
      <c r="G42" s="316" t="s">
        <v>546</v>
      </c>
      <c r="H42" s="316" t="s">
        <v>546</v>
      </c>
      <c r="I42" s="316" t="s">
        <v>546</v>
      </c>
      <c r="J42" s="316" t="s">
        <v>546</v>
      </c>
      <c r="K42" s="317">
        <f t="shared" si="0"/>
        <v>0.19282922601519184</v>
      </c>
      <c r="L42" s="317">
        <f t="shared" si="1"/>
        <v>91.45575865103888</v>
      </c>
      <c r="M42" s="319"/>
    </row>
    <row r="43" spans="2:13" ht="13.5" customHeight="1">
      <c r="B43" s="320" t="s">
        <v>548</v>
      </c>
      <c r="C43" s="316">
        <f>61151315</f>
        <v>61151315</v>
      </c>
      <c r="D43" s="316">
        <f>55762991.16</f>
        <v>55762991.16</v>
      </c>
      <c r="E43" s="316">
        <f>55488591.16</f>
        <v>55488591.16</v>
      </c>
      <c r="F43" s="316" t="s">
        <v>546</v>
      </c>
      <c r="G43" s="316" t="s">
        <v>546</v>
      </c>
      <c r="H43" s="316" t="s">
        <v>546</v>
      </c>
      <c r="I43" s="316" t="s">
        <v>546</v>
      </c>
      <c r="J43" s="316" t="s">
        <v>546</v>
      </c>
      <c r="K43" s="317">
        <f t="shared" si="0"/>
        <v>0.11896504460484388</v>
      </c>
      <c r="L43" s="317">
        <f t="shared" si="1"/>
        <v>91.18853970679126</v>
      </c>
      <c r="M43" s="319"/>
    </row>
    <row r="44" spans="2:13" ht="25.5" customHeight="1">
      <c r="B44" s="312" t="s">
        <v>553</v>
      </c>
      <c r="C44" s="313">
        <f>C45+C46+C47+C51</f>
        <v>9326966624</v>
      </c>
      <c r="D44" s="313">
        <f>D45+D46+D47+D51</f>
        <v>9326950662.04</v>
      </c>
      <c r="E44" s="313">
        <f>E45+E46+E47+E51</f>
        <v>9386215805.04</v>
      </c>
      <c r="F44" s="316" t="s">
        <v>546</v>
      </c>
      <c r="G44" s="316" t="s">
        <v>546</v>
      </c>
      <c r="H44" s="316" t="s">
        <v>546</v>
      </c>
      <c r="I44" s="316" t="s">
        <v>546</v>
      </c>
      <c r="J44" s="316" t="s">
        <v>546</v>
      </c>
      <c r="K44" s="314">
        <f t="shared" si="0"/>
        <v>19.898163252273548</v>
      </c>
      <c r="L44" s="314">
        <f t="shared" si="1"/>
        <v>99.99982886225884</v>
      </c>
      <c r="M44" s="319"/>
    </row>
    <row r="45" spans="2:13" ht="13.5" customHeight="1">
      <c r="B45" s="315" t="s">
        <v>555</v>
      </c>
      <c r="C45" s="316">
        <f>8458596512</f>
        <v>8458596512</v>
      </c>
      <c r="D45" s="316">
        <f>8458501103</f>
        <v>8458501103</v>
      </c>
      <c r="E45" s="316">
        <f>8517766246</f>
        <v>8517766246</v>
      </c>
      <c r="F45" s="316" t="s">
        <v>546</v>
      </c>
      <c r="G45" s="316" t="s">
        <v>546</v>
      </c>
      <c r="H45" s="316" t="s">
        <v>546</v>
      </c>
      <c r="I45" s="316" t="s">
        <v>546</v>
      </c>
      <c r="J45" s="316" t="s">
        <v>546</v>
      </c>
      <c r="K45" s="317">
        <f t="shared" si="0"/>
        <v>18.04540861377487</v>
      </c>
      <c r="L45" s="317">
        <f t="shared" si="1"/>
        <v>99.9988720469186</v>
      </c>
      <c r="M45" s="319"/>
    </row>
    <row r="46" spans="2:13" ht="12.75" customHeight="1">
      <c r="B46" s="315" t="s">
        <v>559</v>
      </c>
      <c r="C46" s="316">
        <f>223666185</f>
        <v>223666185</v>
      </c>
      <c r="D46" s="318">
        <f>223666185</f>
        <v>223666185</v>
      </c>
      <c r="E46" s="316">
        <f>223666185</f>
        <v>223666185</v>
      </c>
      <c r="F46" s="316" t="s">
        <v>546</v>
      </c>
      <c r="G46" s="316" t="s">
        <v>546</v>
      </c>
      <c r="H46" s="316" t="s">
        <v>546</v>
      </c>
      <c r="I46" s="316" t="s">
        <v>546</v>
      </c>
      <c r="J46" s="316" t="s">
        <v>546</v>
      </c>
      <c r="K46" s="317">
        <f t="shared" si="0"/>
        <v>0.4771705592114485</v>
      </c>
      <c r="L46" s="317">
        <f t="shared" si="1"/>
        <v>100</v>
      </c>
      <c r="M46" s="319"/>
    </row>
    <row r="47" spans="2:13" ht="25.5" customHeight="1">
      <c r="B47" s="312" t="s">
        <v>681</v>
      </c>
      <c r="C47" s="313">
        <f>C48+C49+C50</f>
        <v>206183656</v>
      </c>
      <c r="D47" s="313">
        <f>D48+D49+D50</f>
        <v>205910927</v>
      </c>
      <c r="E47" s="313">
        <f>E48+E49+E50</f>
        <v>205910927</v>
      </c>
      <c r="F47" s="316" t="s">
        <v>546</v>
      </c>
      <c r="G47" s="316" t="s">
        <v>546</v>
      </c>
      <c r="H47" s="316" t="s">
        <v>546</v>
      </c>
      <c r="I47" s="316" t="s">
        <v>546</v>
      </c>
      <c r="J47" s="316" t="s">
        <v>546</v>
      </c>
      <c r="K47" s="314">
        <f t="shared" si="0"/>
        <v>0.43929140287494844</v>
      </c>
      <c r="L47" s="314">
        <f t="shared" si="1"/>
        <v>99.86772520902433</v>
      </c>
      <c r="M47" s="319"/>
    </row>
    <row r="48" spans="2:13" ht="13.5" customHeight="1">
      <c r="B48" s="315" t="s">
        <v>554</v>
      </c>
      <c r="C48" s="316">
        <f>47431388</f>
        <v>47431388</v>
      </c>
      <c r="D48" s="318">
        <f>47431388</f>
        <v>47431388</v>
      </c>
      <c r="E48" s="316">
        <f>47431388</f>
        <v>47431388</v>
      </c>
      <c r="F48" s="316" t="s">
        <v>546</v>
      </c>
      <c r="G48" s="316" t="s">
        <v>546</v>
      </c>
      <c r="H48" s="316" t="s">
        <v>546</v>
      </c>
      <c r="I48" s="316" t="s">
        <v>546</v>
      </c>
      <c r="J48" s="316" t="s">
        <v>546</v>
      </c>
      <c r="K48" s="317">
        <f t="shared" si="0"/>
        <v>0.10119036069817701</v>
      </c>
      <c r="L48" s="317">
        <f t="shared" si="1"/>
        <v>100</v>
      </c>
      <c r="M48" s="319"/>
    </row>
    <row r="49" spans="2:13" ht="13.5" customHeight="1">
      <c r="B49" s="315" t="s">
        <v>556</v>
      </c>
      <c r="C49" s="316">
        <f>4081164</f>
        <v>4081164</v>
      </c>
      <c r="D49" s="316">
        <f>4081164</f>
        <v>4081164</v>
      </c>
      <c r="E49" s="316">
        <f>4081164</f>
        <v>4081164</v>
      </c>
      <c r="F49" s="316" t="s">
        <v>546</v>
      </c>
      <c r="G49" s="316" t="s">
        <v>546</v>
      </c>
      <c r="H49" s="316" t="s">
        <v>546</v>
      </c>
      <c r="I49" s="316" t="s">
        <v>546</v>
      </c>
      <c r="J49" s="316" t="s">
        <v>546</v>
      </c>
      <c r="K49" s="317">
        <f t="shared" si="0"/>
        <v>0.008706775716291812</v>
      </c>
      <c r="L49" s="317">
        <f t="shared" si="1"/>
        <v>100</v>
      </c>
      <c r="M49" s="319"/>
    </row>
    <row r="50" spans="2:13" ht="13.5" customHeight="1">
      <c r="B50" s="315" t="s">
        <v>557</v>
      </c>
      <c r="C50" s="316">
        <f>154671104</f>
        <v>154671104</v>
      </c>
      <c r="D50" s="318">
        <f>154398375</f>
        <v>154398375</v>
      </c>
      <c r="E50" s="316">
        <f>154398375</f>
        <v>154398375</v>
      </c>
      <c r="F50" s="316" t="s">
        <v>546</v>
      </c>
      <c r="G50" s="316" t="s">
        <v>546</v>
      </c>
      <c r="H50" s="316" t="s">
        <v>546</v>
      </c>
      <c r="I50" s="316" t="s">
        <v>546</v>
      </c>
      <c r="J50" s="316" t="s">
        <v>546</v>
      </c>
      <c r="K50" s="317">
        <f t="shared" si="0"/>
        <v>0.32939426646047965</v>
      </c>
      <c r="L50" s="317">
        <f t="shared" si="1"/>
        <v>99.82367165362704</v>
      </c>
      <c r="M50" s="319"/>
    </row>
    <row r="51" spans="2:13" ht="25.5" customHeight="1">
      <c r="B51" s="312" t="s">
        <v>682</v>
      </c>
      <c r="C51" s="313">
        <f>C52+C53</f>
        <v>438520271</v>
      </c>
      <c r="D51" s="313">
        <f>D52+D53</f>
        <v>438872447.04</v>
      </c>
      <c r="E51" s="313">
        <f>E52+E53</f>
        <v>438872447.04</v>
      </c>
      <c r="F51" s="316" t="s">
        <v>546</v>
      </c>
      <c r="G51" s="316" t="s">
        <v>546</v>
      </c>
      <c r="H51" s="316" t="s">
        <v>546</v>
      </c>
      <c r="I51" s="316" t="s">
        <v>546</v>
      </c>
      <c r="J51" s="316" t="s">
        <v>546</v>
      </c>
      <c r="K51" s="314">
        <f t="shared" si="0"/>
        <v>0.9362926764122776</v>
      </c>
      <c r="L51" s="314">
        <f t="shared" si="1"/>
        <v>100.08031009357832</v>
      </c>
      <c r="M51" s="319"/>
    </row>
    <row r="52" spans="2:13" ht="13.5" customHeight="1">
      <c r="B52" s="315" t="s">
        <v>557</v>
      </c>
      <c r="C52" s="316">
        <f>423168109</f>
        <v>423168109</v>
      </c>
      <c r="D52" s="318">
        <f>423520285.04</f>
        <v>423520285.04</v>
      </c>
      <c r="E52" s="316">
        <f>423520285.04</f>
        <v>423520285.04</v>
      </c>
      <c r="F52" s="316" t="s">
        <v>546</v>
      </c>
      <c r="G52" s="316" t="s">
        <v>546</v>
      </c>
      <c r="H52" s="316" t="s">
        <v>546</v>
      </c>
      <c r="I52" s="316" t="s">
        <v>546</v>
      </c>
      <c r="J52" s="316" t="s">
        <v>546</v>
      </c>
      <c r="K52" s="317">
        <f t="shared" si="0"/>
        <v>0.9035402971170133</v>
      </c>
      <c r="L52" s="317">
        <f t="shared" si="1"/>
        <v>100.08322367222621</v>
      </c>
      <c r="M52" s="319"/>
    </row>
    <row r="53" spans="2:13" ht="13.5" customHeight="1">
      <c r="B53" s="315" t="s">
        <v>554</v>
      </c>
      <c r="C53" s="316">
        <f>15352162</f>
        <v>15352162</v>
      </c>
      <c r="D53" s="316">
        <f>15352162</f>
        <v>15352162</v>
      </c>
      <c r="E53" s="316">
        <f>15352162</f>
        <v>15352162</v>
      </c>
      <c r="F53" s="316" t="s">
        <v>546</v>
      </c>
      <c r="G53" s="316" t="s">
        <v>546</v>
      </c>
      <c r="H53" s="316" t="s">
        <v>546</v>
      </c>
      <c r="I53" s="316" t="s">
        <v>546</v>
      </c>
      <c r="J53" s="316" t="s">
        <v>546</v>
      </c>
      <c r="K53" s="317">
        <f t="shared" si="0"/>
        <v>0.03275237929526428</v>
      </c>
      <c r="L53" s="317">
        <f t="shared" si="1"/>
        <v>100</v>
      </c>
      <c r="M53" s="319"/>
    </row>
    <row r="54" spans="1:13" ht="13.5" customHeight="1">
      <c r="A54" s="323"/>
      <c r="B54" s="324"/>
      <c r="C54" s="354"/>
      <c r="D54" s="355"/>
      <c r="E54" s="355"/>
      <c r="F54" s="327"/>
      <c r="G54" s="327"/>
      <c r="H54" s="327"/>
      <c r="I54" s="327"/>
      <c r="J54" s="327"/>
      <c r="K54" s="328"/>
      <c r="L54" s="328"/>
      <c r="M54" s="329"/>
    </row>
    <row r="55" spans="2:13" ht="13.5" customHeight="1">
      <c r="B55" s="356"/>
      <c r="C55" s="354"/>
      <c r="D55" s="355"/>
      <c r="E55" s="355"/>
      <c r="F55" s="357"/>
      <c r="G55" s="357"/>
      <c r="H55" s="357"/>
      <c r="I55" s="357"/>
      <c r="J55" s="357"/>
      <c r="K55" s="328"/>
      <c r="L55" s="328"/>
      <c r="M55" s="329"/>
    </row>
    <row r="56" spans="2:13" ht="13.5" customHeight="1">
      <c r="B56" s="356"/>
      <c r="C56" s="354"/>
      <c r="D56" s="355"/>
      <c r="E56" s="355"/>
      <c r="F56" s="357"/>
      <c r="G56" s="357"/>
      <c r="H56" s="357"/>
      <c r="I56" s="357"/>
      <c r="J56" s="357"/>
      <c r="K56" s="328"/>
      <c r="L56" s="328"/>
      <c r="M56" s="329"/>
    </row>
    <row r="57" spans="2:13" ht="13.5" customHeight="1">
      <c r="B57" s="356"/>
      <c r="C57" s="354"/>
      <c r="D57" s="355"/>
      <c r="E57" s="355"/>
      <c r="F57" s="357"/>
      <c r="G57" s="357"/>
      <c r="H57" s="357"/>
      <c r="I57" s="357"/>
      <c r="J57" s="357"/>
      <c r="K57" s="328"/>
      <c r="L57" s="328"/>
      <c r="M57" s="329"/>
    </row>
    <row r="58" spans="2:27" ht="29.25" customHeight="1">
      <c r="B58" s="419" t="s">
        <v>525</v>
      </c>
      <c r="C58" s="406" t="s">
        <v>618</v>
      </c>
      <c r="D58" s="406" t="s">
        <v>619</v>
      </c>
      <c r="E58" s="406" t="s">
        <v>620</v>
      </c>
      <c r="F58" s="406" t="s">
        <v>560</v>
      </c>
      <c r="G58" s="406"/>
      <c r="H58" s="406"/>
      <c r="I58" s="406" t="s">
        <v>621</v>
      </c>
      <c r="J58" s="406"/>
      <c r="K58" s="406" t="s">
        <v>526</v>
      </c>
      <c r="L58" s="416" t="s">
        <v>561</v>
      </c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</row>
    <row r="59" spans="2:27" ht="18" customHeight="1">
      <c r="B59" s="419"/>
      <c r="C59" s="406"/>
      <c r="D59" s="412"/>
      <c r="E59" s="406"/>
      <c r="F59" s="417" t="s">
        <v>622</v>
      </c>
      <c r="G59" s="418" t="s">
        <v>562</v>
      </c>
      <c r="H59" s="412"/>
      <c r="I59" s="406"/>
      <c r="J59" s="406"/>
      <c r="K59" s="406"/>
      <c r="L59" s="416"/>
      <c r="M59" s="331"/>
      <c r="N59" s="332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</row>
    <row r="60" spans="2:27" ht="36" customHeight="1">
      <c r="B60" s="419"/>
      <c r="C60" s="406"/>
      <c r="D60" s="412"/>
      <c r="E60" s="406"/>
      <c r="F60" s="412"/>
      <c r="G60" s="309" t="s">
        <v>623</v>
      </c>
      <c r="H60" s="309" t="s">
        <v>624</v>
      </c>
      <c r="I60" s="406"/>
      <c r="J60" s="406"/>
      <c r="K60" s="406"/>
      <c r="L60" s="416"/>
      <c r="M60" s="331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</row>
    <row r="61" spans="2:27" ht="13.5" customHeight="1">
      <c r="B61" s="419"/>
      <c r="C61" s="415"/>
      <c r="D61" s="415"/>
      <c r="E61" s="415"/>
      <c r="F61" s="415"/>
      <c r="G61" s="415"/>
      <c r="H61" s="415"/>
      <c r="I61" s="415"/>
      <c r="J61" s="415"/>
      <c r="K61" s="415" t="s">
        <v>12</v>
      </c>
      <c r="L61" s="415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</row>
    <row r="62" spans="2:27" ht="12.75">
      <c r="B62" s="308">
        <v>1</v>
      </c>
      <c r="C62" s="310">
        <v>2</v>
      </c>
      <c r="D62" s="310">
        <v>3</v>
      </c>
      <c r="E62" s="310">
        <v>4</v>
      </c>
      <c r="F62" s="308">
        <v>5</v>
      </c>
      <c r="G62" s="308">
        <v>6</v>
      </c>
      <c r="H62" s="310">
        <v>7</v>
      </c>
      <c r="I62" s="412">
        <v>8</v>
      </c>
      <c r="J62" s="412"/>
      <c r="K62" s="308">
        <v>9</v>
      </c>
      <c r="L62" s="310">
        <v>10</v>
      </c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</row>
    <row r="63" spans="2:12" ht="25.5">
      <c r="B63" s="312" t="s">
        <v>563</v>
      </c>
      <c r="C63" s="306">
        <f>48696357104.9</f>
        <v>48696357104.9</v>
      </c>
      <c r="D63" s="306">
        <f>45979693815.06</f>
        <v>45979693815.06</v>
      </c>
      <c r="E63" s="306">
        <f>45877113129.9</f>
        <v>45877113129.9</v>
      </c>
      <c r="F63" s="306">
        <f>1735826723.9</f>
        <v>1735826723.9</v>
      </c>
      <c r="G63" s="306">
        <f>383406.45</f>
        <v>383406.45</v>
      </c>
      <c r="H63" s="306">
        <f>3334817.89</f>
        <v>3334817.89</v>
      </c>
      <c r="I63" s="408">
        <f>631757377.6</f>
        <v>631757377.6</v>
      </c>
      <c r="J63" s="408"/>
      <c r="K63" s="333">
        <f aca="true" t="shared" si="4" ref="K63:K73">IF($E$63=0,"",100*$E63/$E$63)</f>
        <v>100</v>
      </c>
      <c r="L63" s="333">
        <f aca="true" t="shared" si="5" ref="L63:L73">IF(C63=0,"",100*E63/C63)</f>
        <v>94.2105649321429</v>
      </c>
    </row>
    <row r="64" spans="2:12" ht="12.75">
      <c r="B64" s="312" t="s">
        <v>564</v>
      </c>
      <c r="C64" s="307">
        <f>11877681395.38</f>
        <v>11877681395.38</v>
      </c>
      <c r="D64" s="307">
        <f>10377440858.17</f>
        <v>10377440858.17</v>
      </c>
      <c r="E64" s="307">
        <f>10326673529.24</f>
        <v>10326673529.24</v>
      </c>
      <c r="F64" s="307">
        <f>269986307.85</f>
        <v>269986307.85</v>
      </c>
      <c r="G64" s="307">
        <f>250835.28</f>
        <v>250835.28</v>
      </c>
      <c r="H64" s="307">
        <f>537195.9</f>
        <v>537195.9</v>
      </c>
      <c r="I64" s="410">
        <f>577679680.87</f>
        <v>577679680.87</v>
      </c>
      <c r="J64" s="410"/>
      <c r="K64" s="333">
        <f t="shared" si="4"/>
        <v>22.50942316270045</v>
      </c>
      <c r="L64" s="333">
        <f t="shared" si="5"/>
        <v>86.94182968450991</v>
      </c>
    </row>
    <row r="65" spans="2:12" ht="22.5">
      <c r="B65" s="315" t="s">
        <v>565</v>
      </c>
      <c r="C65" s="316">
        <f>11398225125.38</f>
        <v>11398225125.38</v>
      </c>
      <c r="D65" s="316">
        <f>9916426727.86</f>
        <v>9916426727.86</v>
      </c>
      <c r="E65" s="316">
        <f>9865659398.93</f>
        <v>9865659398.93</v>
      </c>
      <c r="F65" s="316">
        <f>269339853.72</f>
        <v>269339853.72</v>
      </c>
      <c r="G65" s="316">
        <f>250835.28</f>
        <v>250835.28</v>
      </c>
      <c r="H65" s="316">
        <f>537195.9</f>
        <v>537195.9</v>
      </c>
      <c r="I65" s="409">
        <f>572829680.87</f>
        <v>572829680.87</v>
      </c>
      <c r="J65" s="409"/>
      <c r="K65" s="322">
        <f t="shared" si="4"/>
        <v>21.504534016766943</v>
      </c>
      <c r="L65" s="322">
        <f t="shared" si="5"/>
        <v>86.5543476322687</v>
      </c>
    </row>
    <row r="66" spans="2:12" ht="25.5">
      <c r="B66" s="312" t="s">
        <v>566</v>
      </c>
      <c r="C66" s="307">
        <f aca="true" t="shared" si="6" ref="C66:I66">C63-C64</f>
        <v>36818675709.520004</v>
      </c>
      <c r="D66" s="307">
        <f t="shared" si="6"/>
        <v>35602252956.89</v>
      </c>
      <c r="E66" s="307">
        <f t="shared" si="6"/>
        <v>35550439600.66</v>
      </c>
      <c r="F66" s="307">
        <f t="shared" si="6"/>
        <v>1465840416.0500002</v>
      </c>
      <c r="G66" s="307">
        <f t="shared" si="6"/>
        <v>132571.17</v>
      </c>
      <c r="H66" s="307">
        <f t="shared" si="6"/>
        <v>2797621.99</v>
      </c>
      <c r="I66" s="410">
        <f t="shared" si="6"/>
        <v>54077696.73000002</v>
      </c>
      <c r="J66" s="410"/>
      <c r="K66" s="333">
        <f t="shared" si="4"/>
        <v>77.49057683729956</v>
      </c>
      <c r="L66" s="333">
        <f t="shared" si="5"/>
        <v>96.55545430567435</v>
      </c>
    </row>
    <row r="67" spans="2:12" ht="12.75">
      <c r="B67" s="315" t="s">
        <v>567</v>
      </c>
      <c r="C67" s="316">
        <f>12393792454.87</f>
        <v>12393792454.87</v>
      </c>
      <c r="D67" s="316">
        <f>12278516984.02</f>
        <v>12278516984.02</v>
      </c>
      <c r="E67" s="316">
        <f>12272426825.22</f>
        <v>12272426825.22</v>
      </c>
      <c r="F67" s="316">
        <f>989907463.83</f>
        <v>989907463.83</v>
      </c>
      <c r="G67" s="316">
        <f>547.03</f>
        <v>547.03</v>
      </c>
      <c r="H67" s="316">
        <f>162049.23</f>
        <v>162049.23</v>
      </c>
      <c r="I67" s="409">
        <f>1555013.8</f>
        <v>1555013.8</v>
      </c>
      <c r="J67" s="409"/>
      <c r="K67" s="322">
        <f t="shared" si="4"/>
        <v>26.750651878357957</v>
      </c>
      <c r="L67" s="322">
        <f t="shared" si="5"/>
        <v>99.02075470367981</v>
      </c>
    </row>
    <row r="68" spans="2:12" ht="22.5">
      <c r="B68" s="320" t="s">
        <v>568</v>
      </c>
      <c r="C68" s="334">
        <f>11342894521.86</f>
        <v>11342894521.86</v>
      </c>
      <c r="D68" s="334">
        <f>11248447261.38</f>
        <v>11248447261.38</v>
      </c>
      <c r="E68" s="334">
        <f>11243507478.24</f>
        <v>11243507478.24</v>
      </c>
      <c r="F68" s="334">
        <f>185871228.2</f>
        <v>185871228.2</v>
      </c>
      <c r="G68" s="334">
        <f>0</f>
        <v>0</v>
      </c>
      <c r="H68" s="334">
        <f>160930.69</f>
        <v>160930.69</v>
      </c>
      <c r="I68" s="414">
        <f>1200240.77</f>
        <v>1200240.77</v>
      </c>
      <c r="J68" s="414"/>
      <c r="K68" s="322">
        <f t="shared" si="4"/>
        <v>24.50787922597541</v>
      </c>
      <c r="L68" s="322">
        <f t="shared" si="5"/>
        <v>99.12379469430434</v>
      </c>
    </row>
    <row r="69" spans="2:12" ht="12.75">
      <c r="B69" s="315" t="s">
        <v>569</v>
      </c>
      <c r="C69" s="316">
        <f>2392715693.03</f>
        <v>2392715693.03</v>
      </c>
      <c r="D69" s="316">
        <f>2337642871.91</f>
        <v>2337642871.91</v>
      </c>
      <c r="E69" s="316">
        <f>2333686376.78</f>
        <v>2333686376.78</v>
      </c>
      <c r="F69" s="316">
        <f>233936004.2</f>
        <v>233936004.2</v>
      </c>
      <c r="G69" s="316">
        <f>297.54</f>
        <v>297.54</v>
      </c>
      <c r="H69" s="316">
        <f>170280.92</f>
        <v>170280.92</v>
      </c>
      <c r="I69" s="409">
        <f>553999.47</f>
        <v>553999.47</v>
      </c>
      <c r="J69" s="409"/>
      <c r="K69" s="322">
        <f t="shared" si="4"/>
        <v>5.086820459195461</v>
      </c>
      <c r="L69" s="322">
        <f t="shared" si="5"/>
        <v>97.53295736631173</v>
      </c>
    </row>
    <row r="70" spans="2:12" ht="12.75">
      <c r="B70" s="315" t="s">
        <v>570</v>
      </c>
      <c r="C70" s="334">
        <f>4100041770.31</f>
        <v>4100041770.31</v>
      </c>
      <c r="D70" s="334">
        <f>4058058166.72</f>
        <v>4058058166.72</v>
      </c>
      <c r="E70" s="334">
        <f>4053622698.05</f>
        <v>4053622698.05</v>
      </c>
      <c r="F70" s="334">
        <f>86591.87</f>
        <v>86591.87</v>
      </c>
      <c r="G70" s="334">
        <f>0</f>
        <v>0</v>
      </c>
      <c r="H70" s="334">
        <f>0</f>
        <v>0</v>
      </c>
      <c r="I70" s="414">
        <f>2782230</f>
        <v>2782230</v>
      </c>
      <c r="J70" s="414"/>
      <c r="K70" s="322">
        <f t="shared" si="4"/>
        <v>8.835827761376919</v>
      </c>
      <c r="L70" s="322">
        <f t="shared" si="5"/>
        <v>98.86783904017422</v>
      </c>
    </row>
    <row r="71" spans="2:12" ht="12.75">
      <c r="B71" s="315" t="s">
        <v>571</v>
      </c>
      <c r="C71" s="316">
        <f>527527289.01</f>
        <v>527527289.01</v>
      </c>
      <c r="D71" s="316">
        <f>480008330.26</f>
        <v>480008330.26</v>
      </c>
      <c r="E71" s="316">
        <f>477642502.38</f>
        <v>477642502.38</v>
      </c>
      <c r="F71" s="316">
        <f>7307565.25</f>
        <v>7307565.25</v>
      </c>
      <c r="G71" s="316">
        <f>0</f>
        <v>0</v>
      </c>
      <c r="H71" s="316">
        <f>32830.88</f>
        <v>32830.88</v>
      </c>
      <c r="I71" s="409">
        <f>0</f>
        <v>0</v>
      </c>
      <c r="J71" s="409"/>
      <c r="K71" s="322">
        <f t="shared" si="4"/>
        <v>1.0411346089444777</v>
      </c>
      <c r="L71" s="322">
        <f t="shared" si="5"/>
        <v>90.54365761369088</v>
      </c>
    </row>
    <row r="72" spans="2:12" ht="22.5">
      <c r="B72" s="315" t="s">
        <v>572</v>
      </c>
      <c r="C72" s="334">
        <f>114180335.3</f>
        <v>114180335.3</v>
      </c>
      <c r="D72" s="334">
        <f>32601662.86</f>
        <v>32601662.86</v>
      </c>
      <c r="E72" s="334">
        <f>32601662.86</f>
        <v>32601662.86</v>
      </c>
      <c r="F72" s="334">
        <f>0</f>
        <v>0</v>
      </c>
      <c r="G72" s="334">
        <f>0</f>
        <v>0</v>
      </c>
      <c r="H72" s="334">
        <f>0</f>
        <v>0</v>
      </c>
      <c r="I72" s="414">
        <f>0</f>
        <v>0</v>
      </c>
      <c r="J72" s="414"/>
      <c r="K72" s="322">
        <f t="shared" si="4"/>
        <v>0.07106302170254072</v>
      </c>
      <c r="L72" s="322">
        <f t="shared" si="5"/>
        <v>28.55278255606944</v>
      </c>
    </row>
    <row r="73" spans="2:12" ht="12.75">
      <c r="B73" s="315" t="s">
        <v>573</v>
      </c>
      <c r="C73" s="316">
        <f aca="true" t="shared" si="7" ref="C73:I73">C66-C67-C69-C70-C71-C72</f>
        <v>17290418167.000004</v>
      </c>
      <c r="D73" s="316">
        <f t="shared" si="7"/>
        <v>16415424941.119999</v>
      </c>
      <c r="E73" s="316">
        <f t="shared" si="7"/>
        <v>16380459535.370005</v>
      </c>
      <c r="F73" s="316">
        <f t="shared" si="7"/>
        <v>234602790.90000015</v>
      </c>
      <c r="G73" s="316">
        <f t="shared" si="7"/>
        <v>131726.6</v>
      </c>
      <c r="H73" s="316">
        <f t="shared" si="7"/>
        <v>2432460.9600000004</v>
      </c>
      <c r="I73" s="409">
        <f t="shared" si="7"/>
        <v>49186453.46000002</v>
      </c>
      <c r="J73" s="409">
        <f>J66-J67-J69-J70-J71</f>
        <v>0</v>
      </c>
      <c r="K73" s="322">
        <f t="shared" si="4"/>
        <v>35.705079107722206</v>
      </c>
      <c r="L73" s="322">
        <f t="shared" si="5"/>
        <v>94.73720865024121</v>
      </c>
    </row>
    <row r="74" spans="2:13" ht="24" customHeight="1">
      <c r="B74" s="312" t="s">
        <v>574</v>
      </c>
      <c r="C74" s="307">
        <f>C6-C63</f>
        <v>-3112465494.2700043</v>
      </c>
      <c r="D74" s="307"/>
      <c r="E74" s="307">
        <f>D6-E63</f>
        <v>996312039</v>
      </c>
      <c r="F74" s="307"/>
      <c r="G74" s="307"/>
      <c r="H74" s="307"/>
      <c r="I74" s="410"/>
      <c r="J74" s="410"/>
      <c r="K74" s="335"/>
      <c r="L74" s="335"/>
      <c r="M74" s="336"/>
    </row>
    <row r="75" spans="2:13" ht="12" customHeight="1">
      <c r="B75" s="358"/>
      <c r="C75" s="359"/>
      <c r="D75" s="359"/>
      <c r="E75" s="359"/>
      <c r="F75" s="329"/>
      <c r="G75" s="329"/>
      <c r="H75" s="329"/>
      <c r="I75" s="329"/>
      <c r="L75" s="330"/>
      <c r="M75" s="330"/>
    </row>
    <row r="76" spans="2:13" ht="12" customHeight="1">
      <c r="B76" s="358"/>
      <c r="C76" s="359"/>
      <c r="D76" s="359"/>
      <c r="E76" s="359"/>
      <c r="F76" s="329"/>
      <c r="G76" s="329"/>
      <c r="H76" s="329"/>
      <c r="I76" s="329"/>
      <c r="L76" s="330"/>
      <c r="M76" s="330"/>
    </row>
    <row r="77" spans="2:9" ht="18" customHeight="1">
      <c r="B77" s="411" t="s">
        <v>463</v>
      </c>
      <c r="C77" s="411"/>
      <c r="D77" s="412" t="s">
        <v>575</v>
      </c>
      <c r="E77" s="412"/>
      <c r="F77" s="412" t="s">
        <v>576</v>
      </c>
      <c r="G77" s="412"/>
      <c r="H77" s="310" t="s">
        <v>577</v>
      </c>
      <c r="I77" s="310" t="s">
        <v>578</v>
      </c>
    </row>
    <row r="78" spans="2:10" ht="13.5" customHeight="1">
      <c r="B78" s="411"/>
      <c r="C78" s="411"/>
      <c r="D78" s="406"/>
      <c r="E78" s="406"/>
      <c r="F78" s="406"/>
      <c r="G78" s="406"/>
      <c r="H78" s="413" t="s">
        <v>12</v>
      </c>
      <c r="I78" s="413"/>
      <c r="J78" s="339"/>
    </row>
    <row r="79" spans="2:10" ht="11.25" customHeight="1">
      <c r="B79" s="405">
        <v>1</v>
      </c>
      <c r="C79" s="406"/>
      <c r="D79" s="407">
        <v>2</v>
      </c>
      <c r="E79" s="407"/>
      <c r="F79" s="407">
        <v>3</v>
      </c>
      <c r="G79" s="407"/>
      <c r="H79" s="340">
        <v>4</v>
      </c>
      <c r="I79" s="340">
        <v>5</v>
      </c>
      <c r="J79" s="330"/>
    </row>
    <row r="80" spans="2:10" ht="25.5" customHeight="1">
      <c r="B80" s="402" t="s">
        <v>579</v>
      </c>
      <c r="C80" s="402"/>
      <c r="D80" s="403">
        <f>3132639720.27</f>
        <v>3132639720.27</v>
      </c>
      <c r="E80" s="404"/>
      <c r="F80" s="403">
        <f>3184757292.24</f>
        <v>3184757292.24</v>
      </c>
      <c r="G80" s="404"/>
      <c r="H80" s="333"/>
      <c r="I80" s="333"/>
      <c r="J80" s="341"/>
    </row>
    <row r="81" spans="2:9" ht="25.5" customHeight="1">
      <c r="B81" s="401" t="s">
        <v>580</v>
      </c>
      <c r="C81" s="402"/>
      <c r="D81" s="408">
        <f>5903353269.88</f>
        <v>5903353269.88</v>
      </c>
      <c r="E81" s="408"/>
      <c r="F81" s="408">
        <f>5889313439.97</f>
        <v>5889313439.97</v>
      </c>
      <c r="G81" s="408"/>
      <c r="H81" s="295">
        <f aca="true" t="shared" si="8" ref="H81:H93">IF($F$81=0,"",100*$F81/$F$81)</f>
        <v>100</v>
      </c>
      <c r="I81" s="333">
        <f aca="true" t="shared" si="9" ref="I81:I102">IF(D81=0,"",100*F81/D81)</f>
        <v>99.76217195095482</v>
      </c>
    </row>
    <row r="82" spans="2:9" ht="13.5" customHeight="1">
      <c r="B82" s="398" t="s">
        <v>581</v>
      </c>
      <c r="C82" s="398"/>
      <c r="D82" s="397">
        <f>3036753651.14</f>
        <v>3036753651.14</v>
      </c>
      <c r="E82" s="397"/>
      <c r="F82" s="397">
        <f>2383975361.34</f>
        <v>2383975361.34</v>
      </c>
      <c r="G82" s="397"/>
      <c r="H82" s="322">
        <f t="shared" si="8"/>
        <v>40.47968215038906</v>
      </c>
      <c r="I82" s="322">
        <f t="shared" si="9"/>
        <v>78.50407491714232</v>
      </c>
    </row>
    <row r="83" spans="2:9" ht="33.75" customHeight="1">
      <c r="B83" s="396" t="s">
        <v>666</v>
      </c>
      <c r="C83" s="396" t="s">
        <v>583</v>
      </c>
      <c r="D83" s="397">
        <f>979428168.95</f>
        <v>979428168.95</v>
      </c>
      <c r="E83" s="397"/>
      <c r="F83" s="397">
        <f>913678501.68</f>
        <v>913678501.68</v>
      </c>
      <c r="G83" s="397"/>
      <c r="H83" s="322">
        <f t="shared" si="8"/>
        <v>15.514176839001019</v>
      </c>
      <c r="I83" s="322">
        <f t="shared" si="9"/>
        <v>93.28693319689924</v>
      </c>
    </row>
    <row r="84" spans="2:9" ht="13.5" customHeight="1">
      <c r="B84" s="398" t="s">
        <v>584</v>
      </c>
      <c r="C84" s="398" t="s">
        <v>585</v>
      </c>
      <c r="D84" s="397">
        <f>17432462</f>
        <v>17432462</v>
      </c>
      <c r="E84" s="397"/>
      <c r="F84" s="397">
        <f>16557337.05</f>
        <v>16557337.05</v>
      </c>
      <c r="G84" s="397"/>
      <c r="H84" s="322">
        <f t="shared" si="8"/>
        <v>0.2811420587267018</v>
      </c>
      <c r="I84" s="322">
        <f t="shared" si="9"/>
        <v>94.97991190228896</v>
      </c>
    </row>
    <row r="85" spans="2:9" ht="13.5" customHeight="1">
      <c r="B85" s="398" t="s">
        <v>586</v>
      </c>
      <c r="C85" s="398" t="s">
        <v>587</v>
      </c>
      <c r="D85" s="397">
        <f>270258386</f>
        <v>270258386</v>
      </c>
      <c r="E85" s="397"/>
      <c r="F85" s="397">
        <f>437991112.93</f>
        <v>437991112.93</v>
      </c>
      <c r="G85" s="397"/>
      <c r="H85" s="322">
        <f t="shared" si="8"/>
        <v>7.437048773077887</v>
      </c>
      <c r="I85" s="322">
        <f t="shared" si="9"/>
        <v>162.06383802277276</v>
      </c>
    </row>
    <row r="86" spans="2:9" ht="13.5" customHeight="1">
      <c r="B86" s="396" t="s">
        <v>588</v>
      </c>
      <c r="C86" s="396" t="s">
        <v>589</v>
      </c>
      <c r="D86" s="397">
        <f>221235770</f>
        <v>221235770</v>
      </c>
      <c r="E86" s="397"/>
      <c r="F86" s="397">
        <f>6584802.31</f>
        <v>6584802.31</v>
      </c>
      <c r="G86" s="397"/>
      <c r="H86" s="322">
        <f t="shared" si="8"/>
        <v>0.11180933698162179</v>
      </c>
      <c r="I86" s="322">
        <f t="shared" si="9"/>
        <v>2.9763732645945997</v>
      </c>
    </row>
    <row r="87" spans="2:9" ht="13.5" customHeight="1">
      <c r="B87" s="398" t="s">
        <v>590</v>
      </c>
      <c r="C87" s="398" t="s">
        <v>591</v>
      </c>
      <c r="D87" s="397">
        <f>0</f>
        <v>0</v>
      </c>
      <c r="E87" s="397"/>
      <c r="F87" s="397">
        <f>0</f>
        <v>0</v>
      </c>
      <c r="G87" s="397"/>
      <c r="H87" s="322">
        <f t="shared" si="8"/>
        <v>0</v>
      </c>
      <c r="I87" s="322">
        <f t="shared" si="9"/>
      </c>
    </row>
    <row r="88" spans="2:9" ht="33.75" customHeight="1">
      <c r="B88" s="396" t="s">
        <v>666</v>
      </c>
      <c r="C88" s="396" t="s">
        <v>583</v>
      </c>
      <c r="D88" s="397">
        <f>0</f>
        <v>0</v>
      </c>
      <c r="E88" s="397"/>
      <c r="F88" s="397">
        <f>0</f>
        <v>0</v>
      </c>
      <c r="G88" s="397"/>
      <c r="H88" s="322">
        <f t="shared" si="8"/>
        <v>0</v>
      </c>
      <c r="I88" s="322">
        <f t="shared" si="9"/>
      </c>
    </row>
    <row r="89" spans="2:9" ht="22.5" customHeight="1">
      <c r="B89" s="398" t="s">
        <v>592</v>
      </c>
      <c r="C89" s="398" t="s">
        <v>593</v>
      </c>
      <c r="D89" s="397">
        <f>438950000</f>
        <v>438950000</v>
      </c>
      <c r="E89" s="397"/>
      <c r="F89" s="397">
        <f>329400000</f>
        <v>329400000</v>
      </c>
      <c r="G89" s="397"/>
      <c r="H89" s="322">
        <f t="shared" si="8"/>
        <v>5.593181673171023</v>
      </c>
      <c r="I89" s="322">
        <f t="shared" si="9"/>
        <v>75.04271557124957</v>
      </c>
    </row>
    <row r="90" spans="2:9" ht="35.25" customHeight="1">
      <c r="B90" s="396" t="s">
        <v>666</v>
      </c>
      <c r="C90" s="396" t="s">
        <v>583</v>
      </c>
      <c r="D90" s="397">
        <f>36050361</f>
        <v>36050361</v>
      </c>
      <c r="E90" s="397"/>
      <c r="F90" s="397">
        <f>36050361</f>
        <v>36050361</v>
      </c>
      <c r="G90" s="397"/>
      <c r="H90" s="322">
        <f t="shared" si="8"/>
        <v>0.6121318107358816</v>
      </c>
      <c r="I90" s="322">
        <f t="shared" si="9"/>
        <v>100</v>
      </c>
    </row>
    <row r="91" spans="2:9" ht="13.5" customHeight="1">
      <c r="B91" s="398" t="s">
        <v>594</v>
      </c>
      <c r="C91" s="398" t="s">
        <v>595</v>
      </c>
      <c r="D91" s="397">
        <f>45019054</f>
        <v>45019054</v>
      </c>
      <c r="E91" s="397"/>
      <c r="F91" s="397">
        <f>13363369.42</f>
        <v>13363369.42</v>
      </c>
      <c r="G91" s="397"/>
      <c r="H91" s="322">
        <f t="shared" si="8"/>
        <v>0.22690878242792376</v>
      </c>
      <c r="I91" s="322">
        <f t="shared" si="9"/>
        <v>29.683807705066393</v>
      </c>
    </row>
    <row r="92" spans="2:9" ht="13.5" customHeight="1">
      <c r="B92" s="398" t="s">
        <v>596</v>
      </c>
      <c r="C92" s="398" t="s">
        <v>597</v>
      </c>
      <c r="D92" s="397">
        <f>2094939716.74</f>
        <v>2094939716.74</v>
      </c>
      <c r="E92" s="397"/>
      <c r="F92" s="397">
        <f>2708026259.23</f>
        <v>2708026259.23</v>
      </c>
      <c r="G92" s="397"/>
      <c r="H92" s="322">
        <f t="shared" si="8"/>
        <v>45.982036562207405</v>
      </c>
      <c r="I92" s="322">
        <f t="shared" si="9"/>
        <v>129.26511620315466</v>
      </c>
    </row>
    <row r="93" spans="2:9" ht="13.5" customHeight="1">
      <c r="B93" s="396" t="s">
        <v>588</v>
      </c>
      <c r="C93" s="396" t="s">
        <v>589</v>
      </c>
      <c r="D93" s="397">
        <f>1422880718.29</f>
        <v>1422880718.29</v>
      </c>
      <c r="E93" s="397"/>
      <c r="F93" s="397">
        <f>161982543.05</f>
        <v>161982543.05</v>
      </c>
      <c r="G93" s="397"/>
      <c r="H93" s="322">
        <f t="shared" si="8"/>
        <v>2.750448667762284</v>
      </c>
      <c r="I93" s="322">
        <f t="shared" si="9"/>
        <v>11.384126650100972</v>
      </c>
    </row>
    <row r="94" spans="2:9" ht="25.5" customHeight="1">
      <c r="B94" s="401" t="s">
        <v>598</v>
      </c>
      <c r="C94" s="402" t="s">
        <v>599</v>
      </c>
      <c r="D94" s="408">
        <f>2770713549.61</f>
        <v>2770713549.61</v>
      </c>
      <c r="E94" s="408"/>
      <c r="F94" s="408">
        <f>2704556147.73</f>
        <v>2704556147.73</v>
      </c>
      <c r="G94" s="408"/>
      <c r="H94" s="295">
        <f aca="true" t="shared" si="10" ref="H94:H102">IF($F$94=0,"",100*$F94/$F$94)</f>
        <v>100</v>
      </c>
      <c r="I94" s="333">
        <f t="shared" si="9"/>
        <v>97.61226122096554</v>
      </c>
    </row>
    <row r="95" spans="2:9" ht="13.5" customHeight="1">
      <c r="B95" s="398" t="s">
        <v>600</v>
      </c>
      <c r="C95" s="398" t="s">
        <v>601</v>
      </c>
      <c r="D95" s="397">
        <f>2306968156.61</f>
        <v>2306968156.61</v>
      </c>
      <c r="E95" s="397"/>
      <c r="F95" s="397">
        <f>2241680408.28</f>
        <v>2241680408.28</v>
      </c>
      <c r="G95" s="397"/>
      <c r="H95" s="322">
        <f t="shared" si="10"/>
        <v>82.88533444430419</v>
      </c>
      <c r="I95" s="322">
        <f t="shared" si="9"/>
        <v>97.16997618094835</v>
      </c>
    </row>
    <row r="96" spans="2:9" ht="35.25" customHeight="1">
      <c r="B96" s="396" t="s">
        <v>666</v>
      </c>
      <c r="C96" s="396" t="s">
        <v>583</v>
      </c>
      <c r="D96" s="397">
        <f>859499203.65</f>
        <v>859499203.65</v>
      </c>
      <c r="E96" s="397"/>
      <c r="F96" s="397">
        <f>810336379.2</f>
        <v>810336379.2</v>
      </c>
      <c r="G96" s="397"/>
      <c r="H96" s="322">
        <f t="shared" si="10"/>
        <v>29.96189891935263</v>
      </c>
      <c r="I96" s="322">
        <f t="shared" si="9"/>
        <v>94.2800616636732</v>
      </c>
    </row>
    <row r="97" spans="2:9" ht="13.5" customHeight="1">
      <c r="B97" s="398" t="s">
        <v>602</v>
      </c>
      <c r="C97" s="398" t="s">
        <v>603</v>
      </c>
      <c r="D97" s="397">
        <f>102700392</f>
        <v>102700392</v>
      </c>
      <c r="E97" s="397"/>
      <c r="F97" s="397">
        <f>96830739.45</f>
        <v>96830739.45</v>
      </c>
      <c r="G97" s="397"/>
      <c r="H97" s="322">
        <f t="shared" si="10"/>
        <v>3.5802820929146693</v>
      </c>
      <c r="I97" s="322">
        <f t="shared" si="9"/>
        <v>94.28468340218214</v>
      </c>
    </row>
    <row r="98" spans="2:9" ht="13.5" customHeight="1">
      <c r="B98" s="398" t="s">
        <v>604</v>
      </c>
      <c r="C98" s="398" t="s">
        <v>605</v>
      </c>
      <c r="D98" s="397">
        <f>8500000</f>
        <v>8500000</v>
      </c>
      <c r="E98" s="397"/>
      <c r="F98" s="397">
        <f>8500000</f>
        <v>8500000</v>
      </c>
      <c r="G98" s="397"/>
      <c r="H98" s="322">
        <f t="shared" si="10"/>
        <v>0.31428447167326357</v>
      </c>
      <c r="I98" s="322">
        <f t="shared" si="9"/>
        <v>100</v>
      </c>
    </row>
    <row r="99" spans="2:9" ht="35.25" customHeight="1">
      <c r="B99" s="396" t="s">
        <v>666</v>
      </c>
      <c r="C99" s="396" t="s">
        <v>583</v>
      </c>
      <c r="D99" s="397">
        <f>0</f>
        <v>0</v>
      </c>
      <c r="E99" s="397"/>
      <c r="F99" s="397">
        <f>0</f>
        <v>0</v>
      </c>
      <c r="G99" s="397"/>
      <c r="H99" s="322">
        <f t="shared" si="10"/>
        <v>0</v>
      </c>
      <c r="I99" s="322">
        <f t="shared" si="9"/>
      </c>
    </row>
    <row r="100" spans="2:9" ht="13.5" customHeight="1">
      <c r="B100" s="398" t="s">
        <v>606</v>
      </c>
      <c r="C100" s="398" t="s">
        <v>607</v>
      </c>
      <c r="D100" s="397">
        <f>352500000</f>
        <v>352500000</v>
      </c>
      <c r="E100" s="397"/>
      <c r="F100" s="397">
        <f>352500000</f>
        <v>352500000</v>
      </c>
      <c r="G100" s="397"/>
      <c r="H100" s="322">
        <f t="shared" si="10"/>
        <v>13.033561913508871</v>
      </c>
      <c r="I100" s="322">
        <f t="shared" si="9"/>
        <v>100</v>
      </c>
    </row>
    <row r="101" spans="2:9" ht="36" customHeight="1">
      <c r="B101" s="396" t="s">
        <v>666</v>
      </c>
      <c r="C101" s="396" t="s">
        <v>583</v>
      </c>
      <c r="D101" s="397">
        <f>0</f>
        <v>0</v>
      </c>
      <c r="E101" s="397"/>
      <c r="F101" s="397">
        <f>0</f>
        <v>0</v>
      </c>
      <c r="G101" s="397"/>
      <c r="H101" s="322">
        <f t="shared" si="10"/>
        <v>0</v>
      </c>
      <c r="I101" s="322">
        <f t="shared" si="9"/>
      </c>
    </row>
    <row r="102" spans="2:9" ht="13.5" customHeight="1">
      <c r="B102" s="398" t="s">
        <v>608</v>
      </c>
      <c r="C102" s="398" t="s">
        <v>609</v>
      </c>
      <c r="D102" s="397">
        <f>45001</f>
        <v>45001</v>
      </c>
      <c r="E102" s="397"/>
      <c r="F102" s="397">
        <f>5045000</f>
        <v>5045000</v>
      </c>
      <c r="G102" s="397"/>
      <c r="H102" s="322">
        <f t="shared" si="10"/>
        <v>0.1865370775990135</v>
      </c>
      <c r="I102" s="322">
        <f t="shared" si="9"/>
        <v>11210.86198084487</v>
      </c>
    </row>
  </sheetData>
  <mergeCells count="106"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8"/>
    <mergeCell ref="D77:E77"/>
    <mergeCell ref="F77:G77"/>
    <mergeCell ref="D78:G78"/>
    <mergeCell ref="I69:J69"/>
    <mergeCell ref="I70:J70"/>
    <mergeCell ref="H78:I78"/>
    <mergeCell ref="I71:J71"/>
    <mergeCell ref="I72:J72"/>
    <mergeCell ref="I73:J73"/>
    <mergeCell ref="I74:J74"/>
    <mergeCell ref="I65:J65"/>
    <mergeCell ref="I66:J66"/>
    <mergeCell ref="I67:J67"/>
    <mergeCell ref="I68:J68"/>
    <mergeCell ref="K61:L61"/>
    <mergeCell ref="I62:J62"/>
    <mergeCell ref="I63:J63"/>
    <mergeCell ref="I64:J64"/>
    <mergeCell ref="B58:B61"/>
    <mergeCell ref="C58:C60"/>
    <mergeCell ref="D58:D60"/>
    <mergeCell ref="E58:E60"/>
    <mergeCell ref="C61:J61"/>
    <mergeCell ref="F58:H58"/>
    <mergeCell ref="I58:J60"/>
    <mergeCell ref="K58:K60"/>
    <mergeCell ref="L58:L60"/>
    <mergeCell ref="F59:F60"/>
    <mergeCell ref="G59:H59"/>
    <mergeCell ref="B1:M1"/>
    <mergeCell ref="B3:B4"/>
    <mergeCell ref="C4:J4"/>
    <mergeCell ref="K4:M4"/>
  </mergeCells>
  <printOptions horizontalCentered="1"/>
  <pageMargins left="0.24" right="0.17" top="0.53" bottom="0.41" header="0.17" footer="0.21"/>
  <pageSetup horizontalDpi="1200" verticalDpi="1200" orientation="landscape" paperSize="9" scale="95" r:id="rId3"/>
  <headerFooter alignWithMargins="0">
    <oddFooter>&amp;RStrona &amp;P z 6</oddFooter>
  </headerFooter>
  <rowBreaks count="2" manualBreakCount="2">
    <brk id="54" max="255" man="1"/>
    <brk id="75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" sqref="A1:M1"/>
    </sheetView>
  </sheetViews>
  <sheetFormatPr defaultColWidth="9.140625" defaultRowHeight="13.5" customHeight="1"/>
  <cols>
    <col min="1" max="1" width="20.8515625" style="296" customWidth="1"/>
    <col min="2" max="2" width="12.140625" style="296" customWidth="1"/>
    <col min="3" max="4" width="11.421875" style="296" customWidth="1"/>
    <col min="5" max="5" width="10.140625" style="296" customWidth="1"/>
    <col min="6" max="7" width="10.421875" style="296" customWidth="1"/>
    <col min="8" max="8" width="9.140625" style="296" customWidth="1"/>
    <col min="9" max="9" width="12.421875" style="296" customWidth="1"/>
    <col min="10" max="11" width="11.421875" style="296" customWidth="1"/>
    <col min="12" max="12" width="8.8515625" style="296" customWidth="1"/>
    <col min="13" max="13" width="11.57421875" style="296" customWidth="1"/>
    <col min="14" max="16384" width="9.140625" style="296" customWidth="1"/>
  </cols>
  <sheetData>
    <row r="1" spans="1:13" ht="13.5" customHeight="1">
      <c r="A1" s="420" t="s">
        <v>685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5.2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customHeight="1">
      <c r="A3" s="426" t="s">
        <v>626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ht="6.75" customHeight="1"/>
    <row r="5" spans="1:13" ht="13.5" customHeight="1">
      <c r="A5" s="441" t="s">
        <v>463</v>
      </c>
      <c r="B5" s="436" t="s">
        <v>627</v>
      </c>
      <c r="C5" s="439" t="s">
        <v>628</v>
      </c>
      <c r="D5" s="439"/>
      <c r="E5" s="439"/>
      <c r="F5" s="439"/>
      <c r="G5" s="439"/>
      <c r="H5" s="439"/>
      <c r="I5" s="439"/>
      <c r="J5" s="439"/>
      <c r="K5" s="439"/>
      <c r="L5" s="439"/>
      <c r="M5" s="440"/>
    </row>
    <row r="6" spans="1:13" ht="13.5" customHeight="1">
      <c r="A6" s="442"/>
      <c r="B6" s="437"/>
      <c r="C6" s="444" t="s">
        <v>629</v>
      </c>
      <c r="D6" s="439"/>
      <c r="E6" s="439"/>
      <c r="F6" s="439"/>
      <c r="G6" s="439"/>
      <c r="H6" s="439"/>
      <c r="I6" s="439"/>
      <c r="J6" s="440"/>
      <c r="K6" s="444" t="s">
        <v>630</v>
      </c>
      <c r="L6" s="439"/>
      <c r="M6" s="440"/>
    </row>
    <row r="7" spans="1:13" ht="13.5" customHeight="1">
      <c r="A7" s="442"/>
      <c r="B7" s="437"/>
      <c r="C7" s="436" t="s">
        <v>465</v>
      </c>
      <c r="D7" s="439" t="s">
        <v>631</v>
      </c>
      <c r="E7" s="439"/>
      <c r="F7" s="439"/>
      <c r="G7" s="439"/>
      <c r="H7" s="439"/>
      <c r="I7" s="439"/>
      <c r="J7" s="440"/>
      <c r="K7" s="436" t="s">
        <v>465</v>
      </c>
      <c r="L7" s="439" t="s">
        <v>631</v>
      </c>
      <c r="M7" s="440"/>
    </row>
    <row r="8" spans="1:13" ht="13.5" customHeight="1">
      <c r="A8" s="442"/>
      <c r="B8" s="437"/>
      <c r="C8" s="437"/>
      <c r="D8" s="436" t="s">
        <v>632</v>
      </c>
      <c r="E8" s="440" t="s">
        <v>633</v>
      </c>
      <c r="F8" s="425"/>
      <c r="G8" s="425"/>
      <c r="H8" s="425"/>
      <c r="I8" s="421" t="s">
        <v>634</v>
      </c>
      <c r="J8" s="421" t="s">
        <v>635</v>
      </c>
      <c r="K8" s="437"/>
      <c r="L8" s="421" t="s">
        <v>636</v>
      </c>
      <c r="M8" s="421" t="s">
        <v>637</v>
      </c>
    </row>
    <row r="9" spans="1:13" ht="13.5" customHeight="1">
      <c r="A9" s="442"/>
      <c r="B9" s="437"/>
      <c r="C9" s="437"/>
      <c r="D9" s="437"/>
      <c r="E9" s="436" t="s">
        <v>638</v>
      </c>
      <c r="F9" s="298" t="s">
        <v>631</v>
      </c>
      <c r="G9" s="421" t="s">
        <v>639</v>
      </c>
      <c r="H9" s="421" t="s">
        <v>640</v>
      </c>
      <c r="I9" s="422"/>
      <c r="J9" s="422"/>
      <c r="K9" s="437"/>
      <c r="L9" s="422"/>
      <c r="M9" s="422"/>
    </row>
    <row r="10" spans="1:13" ht="11.25" customHeight="1">
      <c r="A10" s="442"/>
      <c r="B10" s="437"/>
      <c r="C10" s="437"/>
      <c r="D10" s="437"/>
      <c r="E10" s="437"/>
      <c r="F10" s="421" t="s">
        <v>641</v>
      </c>
      <c r="G10" s="422"/>
      <c r="H10" s="422"/>
      <c r="I10" s="422"/>
      <c r="J10" s="422"/>
      <c r="K10" s="437"/>
      <c r="L10" s="422"/>
      <c r="M10" s="422"/>
    </row>
    <row r="11" spans="1:13" ht="11.25" customHeight="1">
      <c r="A11" s="443"/>
      <c r="B11" s="438"/>
      <c r="C11" s="438"/>
      <c r="D11" s="438"/>
      <c r="E11" s="438"/>
      <c r="F11" s="423"/>
      <c r="G11" s="423"/>
      <c r="H11" s="423"/>
      <c r="I11" s="423"/>
      <c r="J11" s="423"/>
      <c r="K11" s="438"/>
      <c r="L11" s="423"/>
      <c r="M11" s="423"/>
    </row>
    <row r="12" spans="1:13" ht="10.5" customHeight="1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</row>
    <row r="13" spans="1:13" ht="33.75">
      <c r="A13" s="300" t="s">
        <v>642</v>
      </c>
      <c r="B13" s="301">
        <f>11258690371.08</f>
        <v>11258690371.08</v>
      </c>
      <c r="C13" s="301">
        <f>8600922199.37</f>
        <v>8600922199.37</v>
      </c>
      <c r="D13" s="301">
        <f>804368727.67</f>
        <v>804368727.67</v>
      </c>
      <c r="E13" s="301">
        <f>524832260.24</f>
        <v>524832260.24</v>
      </c>
      <c r="F13" s="301">
        <f>204644255.23</f>
        <v>204644255.23</v>
      </c>
      <c r="G13" s="301">
        <f>278277082.15</f>
        <v>278277082.15</v>
      </c>
      <c r="H13" s="301">
        <f>1259385.28</f>
        <v>1259385.28</v>
      </c>
      <c r="I13" s="301">
        <f>0</f>
        <v>0</v>
      </c>
      <c r="J13" s="301">
        <f>7065421050.88</f>
        <v>7065421050.88</v>
      </c>
      <c r="K13" s="301">
        <f>2657768171.71</f>
        <v>2657768171.71</v>
      </c>
      <c r="L13" s="301">
        <f>0</f>
        <v>0</v>
      </c>
      <c r="M13" s="301">
        <f>2596137041.71</f>
        <v>2596137041.71</v>
      </c>
    </row>
    <row r="14" spans="1:13" ht="22.5">
      <c r="A14" s="302" t="s">
        <v>643</v>
      </c>
      <c r="B14" s="301">
        <f>1933250000</f>
        <v>1933250000</v>
      </c>
      <c r="C14" s="301">
        <f>1933250000</f>
        <v>1933250000</v>
      </c>
      <c r="D14" s="301">
        <f>0</f>
        <v>0</v>
      </c>
      <c r="E14" s="301">
        <f>0</f>
        <v>0</v>
      </c>
      <c r="F14" s="301">
        <f>0</f>
        <v>0</v>
      </c>
      <c r="G14" s="301">
        <f>0</f>
        <v>0</v>
      </c>
      <c r="H14" s="301">
        <f>0</f>
        <v>0</v>
      </c>
      <c r="I14" s="301">
        <f>0</f>
        <v>0</v>
      </c>
      <c r="J14" s="301">
        <f>1284750000</f>
        <v>1284750000</v>
      </c>
      <c r="K14" s="301">
        <f>0</f>
        <v>0</v>
      </c>
      <c r="L14" s="301">
        <f>0</f>
        <v>0</v>
      </c>
      <c r="M14" s="301">
        <f>0</f>
        <v>0</v>
      </c>
    </row>
    <row r="15" spans="1:13" ht="13.5" customHeight="1">
      <c r="A15" s="303" t="s">
        <v>644</v>
      </c>
      <c r="B15" s="301">
        <f>1933250000</f>
        <v>1933250000</v>
      </c>
      <c r="C15" s="301">
        <f>1933250000</f>
        <v>1933250000</v>
      </c>
      <c r="D15" s="301">
        <f>0</f>
        <v>0</v>
      </c>
      <c r="E15" s="301">
        <f>0</f>
        <v>0</v>
      </c>
      <c r="F15" s="301">
        <f>0</f>
        <v>0</v>
      </c>
      <c r="G15" s="301">
        <f>0</f>
        <v>0</v>
      </c>
      <c r="H15" s="301">
        <f>0</f>
        <v>0</v>
      </c>
      <c r="I15" s="301">
        <f>0</f>
        <v>0</v>
      </c>
      <c r="J15" s="301">
        <f>1284750000</f>
        <v>1284750000</v>
      </c>
      <c r="K15" s="301">
        <f>0</f>
        <v>0</v>
      </c>
      <c r="L15" s="301">
        <f>0</f>
        <v>0</v>
      </c>
      <c r="M15" s="301">
        <f>0</f>
        <v>0</v>
      </c>
    </row>
    <row r="16" spans="1:13" ht="21" customHeight="1">
      <c r="A16" s="302" t="s">
        <v>645</v>
      </c>
      <c r="B16" s="301">
        <f>9277135097.61</f>
        <v>9277135097.61</v>
      </c>
      <c r="C16" s="301">
        <f>6619366925.9</f>
        <v>6619366925.9</v>
      </c>
      <c r="D16" s="301">
        <f>801557505.92</f>
        <v>801557505.92</v>
      </c>
      <c r="E16" s="301">
        <f>524424184.49</f>
        <v>524424184.49</v>
      </c>
      <c r="F16" s="301">
        <f>204610835.39</f>
        <v>204610835.39</v>
      </c>
      <c r="G16" s="301">
        <f>277133321.43</f>
        <v>277133321.43</v>
      </c>
      <c r="H16" s="301">
        <f>0</f>
        <v>0</v>
      </c>
      <c r="I16" s="301">
        <f>0</f>
        <v>0</v>
      </c>
      <c r="J16" s="301">
        <f>5780671050.88</f>
        <v>5780671050.88</v>
      </c>
      <c r="K16" s="301">
        <f>2657768171.71</f>
        <v>2657768171.71</v>
      </c>
      <c r="L16" s="301">
        <f>0</f>
        <v>0</v>
      </c>
      <c r="M16" s="301">
        <f>2596137041.71</f>
        <v>2596137041.71</v>
      </c>
    </row>
    <row r="17" spans="1:13" ht="13.5" customHeight="1">
      <c r="A17" s="303" t="s">
        <v>644</v>
      </c>
      <c r="B17" s="301">
        <f>9097012807.71</f>
        <v>9097012807.71</v>
      </c>
      <c r="C17" s="301">
        <f>6443152272.32</f>
        <v>6443152272.32</v>
      </c>
      <c r="D17" s="301">
        <f>695871966.95</f>
        <v>695871966.95</v>
      </c>
      <c r="E17" s="301">
        <f>419982796.52</f>
        <v>419982796.52</v>
      </c>
      <c r="F17" s="301">
        <f>126271687.93</f>
        <v>126271687.93</v>
      </c>
      <c r="G17" s="301">
        <f>275889170.43</f>
        <v>275889170.43</v>
      </c>
      <c r="H17" s="301">
        <f>0</f>
        <v>0</v>
      </c>
      <c r="I17" s="301">
        <f>0</f>
        <v>0</v>
      </c>
      <c r="J17" s="301">
        <f>5710141936.27</f>
        <v>5710141936.27</v>
      </c>
      <c r="K17" s="301">
        <f>2653860535.39</f>
        <v>2653860535.39</v>
      </c>
      <c r="L17" s="301">
        <f>0</f>
        <v>0</v>
      </c>
      <c r="M17" s="301">
        <f>2592229405.39</f>
        <v>2592229405.39</v>
      </c>
    </row>
    <row r="18" spans="1:13" ht="13.5" customHeight="1">
      <c r="A18" s="302" t="s">
        <v>646</v>
      </c>
      <c r="B18" s="301">
        <f>0</f>
        <v>0</v>
      </c>
      <c r="C18" s="301">
        <f>0</f>
        <v>0</v>
      </c>
      <c r="D18" s="301">
        <f>0</f>
        <v>0</v>
      </c>
      <c r="E18" s="301">
        <f>0</f>
        <v>0</v>
      </c>
      <c r="F18" s="301">
        <f>0</f>
        <v>0</v>
      </c>
      <c r="G18" s="301">
        <f>0</f>
        <v>0</v>
      </c>
      <c r="H18" s="301">
        <f>0</f>
        <v>0</v>
      </c>
      <c r="I18" s="301">
        <f>0</f>
        <v>0</v>
      </c>
      <c r="J18" s="301">
        <f>0</f>
        <v>0</v>
      </c>
      <c r="K18" s="301">
        <f>0</f>
        <v>0</v>
      </c>
      <c r="L18" s="301">
        <f>0</f>
        <v>0</v>
      </c>
      <c r="M18" s="301">
        <f>0</f>
        <v>0</v>
      </c>
    </row>
    <row r="19" spans="1:13" ht="24" customHeight="1">
      <c r="A19" s="302" t="s">
        <v>647</v>
      </c>
      <c r="B19" s="301">
        <f>48305273.47</f>
        <v>48305273.47</v>
      </c>
      <c r="C19" s="301">
        <f>48305273.47</f>
        <v>48305273.47</v>
      </c>
      <c r="D19" s="301">
        <f>2811221.75</f>
        <v>2811221.75</v>
      </c>
      <c r="E19" s="301">
        <f>408075.75</f>
        <v>408075.75</v>
      </c>
      <c r="F19" s="301">
        <f>33419.84</f>
        <v>33419.84</v>
      </c>
      <c r="G19" s="301">
        <f>1143760.72</f>
        <v>1143760.72</v>
      </c>
      <c r="H19" s="301">
        <f>1259385.28</f>
        <v>1259385.28</v>
      </c>
      <c r="I19" s="301">
        <f>0</f>
        <v>0</v>
      </c>
      <c r="J19" s="301">
        <f>0</f>
        <v>0</v>
      </c>
      <c r="K19" s="301">
        <f>0</f>
        <v>0</v>
      </c>
      <c r="L19" s="301">
        <f>0</f>
        <v>0</v>
      </c>
      <c r="M19" s="301">
        <f>0</f>
        <v>0</v>
      </c>
    </row>
    <row r="20" spans="1:13" ht="12.75">
      <c r="A20" s="302" t="s">
        <v>648</v>
      </c>
      <c r="B20" s="301">
        <f>42253970.85</f>
        <v>42253970.85</v>
      </c>
      <c r="C20" s="301">
        <f>42253970.85</f>
        <v>42253970.85</v>
      </c>
      <c r="D20" s="301">
        <f>696723.3</f>
        <v>696723.3</v>
      </c>
      <c r="E20" s="301">
        <f>2109.22</f>
        <v>2109.22</v>
      </c>
      <c r="F20" s="301">
        <f>8.4</f>
        <v>8.4</v>
      </c>
      <c r="G20" s="301">
        <f>694614.08</f>
        <v>694614.08</v>
      </c>
      <c r="H20" s="301">
        <f>0</f>
        <v>0</v>
      </c>
      <c r="I20" s="301">
        <f>0</f>
        <v>0</v>
      </c>
      <c r="J20" s="301">
        <f>0</f>
        <v>0</v>
      </c>
      <c r="K20" s="301">
        <f>0</f>
        <v>0</v>
      </c>
      <c r="L20" s="301">
        <f>0</f>
        <v>0</v>
      </c>
      <c r="M20" s="301">
        <f>0</f>
        <v>0</v>
      </c>
    </row>
    <row r="21" ht="8.25" customHeight="1"/>
    <row r="22" spans="1:13" ht="13.5" customHeight="1">
      <c r="A22" s="426" t="s">
        <v>649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ht="6.75" customHeight="1"/>
    <row r="24" spans="1:13" ht="13.5" customHeight="1">
      <c r="A24" s="441" t="s">
        <v>463</v>
      </c>
      <c r="B24" s="436" t="s">
        <v>650</v>
      </c>
      <c r="C24" s="439" t="s">
        <v>651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</row>
    <row r="25" spans="1:13" ht="13.5" customHeight="1">
      <c r="A25" s="442"/>
      <c r="B25" s="437"/>
      <c r="C25" s="444" t="s">
        <v>629</v>
      </c>
      <c r="D25" s="439"/>
      <c r="E25" s="439"/>
      <c r="F25" s="439"/>
      <c r="G25" s="439"/>
      <c r="H25" s="439"/>
      <c r="I25" s="439"/>
      <c r="J25" s="440"/>
      <c r="K25" s="444" t="s">
        <v>630</v>
      </c>
      <c r="L25" s="439"/>
      <c r="M25" s="440"/>
    </row>
    <row r="26" spans="1:13" ht="13.5" customHeight="1">
      <c r="A26" s="442"/>
      <c r="B26" s="437"/>
      <c r="C26" s="436" t="s">
        <v>465</v>
      </c>
      <c r="D26" s="439" t="s">
        <v>652</v>
      </c>
      <c r="E26" s="439"/>
      <c r="F26" s="439"/>
      <c r="G26" s="439"/>
      <c r="H26" s="439"/>
      <c r="I26" s="439"/>
      <c r="J26" s="440"/>
      <c r="K26" s="436" t="s">
        <v>465</v>
      </c>
      <c r="L26" s="439" t="s">
        <v>652</v>
      </c>
      <c r="M26" s="440"/>
    </row>
    <row r="27" spans="1:13" ht="13.5" customHeight="1">
      <c r="A27" s="442"/>
      <c r="B27" s="437"/>
      <c r="C27" s="437"/>
      <c r="D27" s="436" t="s">
        <v>632</v>
      </c>
      <c r="E27" s="440" t="s">
        <v>653</v>
      </c>
      <c r="F27" s="425"/>
      <c r="G27" s="425"/>
      <c r="H27" s="425"/>
      <c r="I27" s="421" t="s">
        <v>634</v>
      </c>
      <c r="J27" s="421" t="s">
        <v>635</v>
      </c>
      <c r="K27" s="437"/>
      <c r="L27" s="421" t="s">
        <v>636</v>
      </c>
      <c r="M27" s="421" t="s">
        <v>637</v>
      </c>
    </row>
    <row r="28" spans="1:13" ht="13.5" customHeight="1">
      <c r="A28" s="442"/>
      <c r="B28" s="437"/>
      <c r="C28" s="437"/>
      <c r="D28" s="437"/>
      <c r="E28" s="436" t="s">
        <v>638</v>
      </c>
      <c r="F28" s="298" t="s">
        <v>652</v>
      </c>
      <c r="G28" s="421" t="s">
        <v>639</v>
      </c>
      <c r="H28" s="421" t="s">
        <v>640</v>
      </c>
      <c r="I28" s="422"/>
      <c r="J28" s="422"/>
      <c r="K28" s="437"/>
      <c r="L28" s="422"/>
      <c r="M28" s="422"/>
    </row>
    <row r="29" spans="1:13" ht="11.25" customHeight="1">
      <c r="A29" s="442"/>
      <c r="B29" s="437"/>
      <c r="C29" s="437"/>
      <c r="D29" s="437"/>
      <c r="E29" s="437"/>
      <c r="F29" s="421" t="s">
        <v>641</v>
      </c>
      <c r="G29" s="422"/>
      <c r="H29" s="422"/>
      <c r="I29" s="422"/>
      <c r="J29" s="422"/>
      <c r="K29" s="437"/>
      <c r="L29" s="422"/>
      <c r="M29" s="422"/>
    </row>
    <row r="30" spans="1:13" ht="7.5" customHeight="1">
      <c r="A30" s="443"/>
      <c r="B30" s="438"/>
      <c r="C30" s="438"/>
      <c r="D30" s="438"/>
      <c r="E30" s="438"/>
      <c r="F30" s="423"/>
      <c r="G30" s="423"/>
      <c r="H30" s="423"/>
      <c r="I30" s="423"/>
      <c r="J30" s="423"/>
      <c r="K30" s="438"/>
      <c r="L30" s="423"/>
      <c r="M30" s="423"/>
    </row>
    <row r="31" spans="1:13" ht="10.5" customHeight="1">
      <c r="A31" s="299">
        <v>1</v>
      </c>
      <c r="B31" s="299">
        <v>2</v>
      </c>
      <c r="C31" s="299">
        <v>3</v>
      </c>
      <c r="D31" s="299">
        <v>4</v>
      </c>
      <c r="E31" s="299">
        <v>5</v>
      </c>
      <c r="F31" s="299">
        <v>6</v>
      </c>
      <c r="G31" s="299">
        <v>7</v>
      </c>
      <c r="H31" s="299">
        <v>8</v>
      </c>
      <c r="I31" s="299">
        <v>9</v>
      </c>
      <c r="J31" s="299">
        <v>10</v>
      </c>
      <c r="K31" s="299">
        <v>11</v>
      </c>
      <c r="L31" s="299">
        <v>12</v>
      </c>
      <c r="M31" s="299">
        <v>13</v>
      </c>
    </row>
    <row r="32" spans="1:13" ht="26.25" customHeight="1">
      <c r="A32" s="300" t="s">
        <v>654</v>
      </c>
      <c r="B32" s="304">
        <f>4379371276.61</f>
        <v>4379371276.61</v>
      </c>
      <c r="C32" s="304">
        <f>4379347725.56</f>
        <v>4379347725.56</v>
      </c>
      <c r="D32" s="304">
        <f>218079861.45</f>
        <v>218079861.45</v>
      </c>
      <c r="E32" s="304">
        <f>33956030.61</f>
        <v>33956030.61</v>
      </c>
      <c r="F32" s="304">
        <f>9826003.62</f>
        <v>9826003.62</v>
      </c>
      <c r="G32" s="304">
        <f>184119788.18</f>
        <v>184119788.18</v>
      </c>
      <c r="H32" s="304">
        <f>4042.66</f>
        <v>4042.66</v>
      </c>
      <c r="I32" s="304">
        <f>8548</f>
        <v>8548</v>
      </c>
      <c r="J32" s="304">
        <f>19424549.28</f>
        <v>19424549.28</v>
      </c>
      <c r="K32" s="304">
        <f>23551.05</f>
        <v>23551.05</v>
      </c>
      <c r="L32" s="304">
        <f>67.2</f>
        <v>67.2</v>
      </c>
      <c r="M32" s="304">
        <f>0</f>
        <v>0</v>
      </c>
    </row>
    <row r="33" spans="1:13" ht="20.25" customHeight="1">
      <c r="A33" s="302" t="s">
        <v>643</v>
      </c>
      <c r="B33" s="304">
        <f>0</f>
        <v>0</v>
      </c>
      <c r="C33" s="304">
        <f>0</f>
        <v>0</v>
      </c>
      <c r="D33" s="304">
        <f>0</f>
        <v>0</v>
      </c>
      <c r="E33" s="304">
        <f>0</f>
        <v>0</v>
      </c>
      <c r="F33" s="304">
        <f>0</f>
        <v>0</v>
      </c>
      <c r="G33" s="304">
        <f>0</f>
        <v>0</v>
      </c>
      <c r="H33" s="304">
        <f>0</f>
        <v>0</v>
      </c>
      <c r="I33" s="304">
        <f>0</f>
        <v>0</v>
      </c>
      <c r="J33" s="304">
        <f>0</f>
        <v>0</v>
      </c>
      <c r="K33" s="304">
        <f>0</f>
        <v>0</v>
      </c>
      <c r="L33" s="304">
        <f>0</f>
        <v>0</v>
      </c>
      <c r="M33" s="304">
        <f>0</f>
        <v>0</v>
      </c>
    </row>
    <row r="34" spans="1:13" ht="13.5" customHeight="1">
      <c r="A34" s="303" t="s">
        <v>644</v>
      </c>
      <c r="B34" s="304">
        <f>0</f>
        <v>0</v>
      </c>
      <c r="C34" s="304">
        <f>0</f>
        <v>0</v>
      </c>
      <c r="D34" s="304">
        <f>0</f>
        <v>0</v>
      </c>
      <c r="E34" s="304">
        <f>0</f>
        <v>0</v>
      </c>
      <c r="F34" s="304">
        <f>0</f>
        <v>0</v>
      </c>
      <c r="G34" s="304">
        <f>0</f>
        <v>0</v>
      </c>
      <c r="H34" s="304">
        <f>0</f>
        <v>0</v>
      </c>
      <c r="I34" s="304">
        <f>0</f>
        <v>0</v>
      </c>
      <c r="J34" s="304">
        <f>0</f>
        <v>0</v>
      </c>
      <c r="K34" s="304">
        <f>0</f>
        <v>0</v>
      </c>
      <c r="L34" s="304">
        <f>0</f>
        <v>0</v>
      </c>
      <c r="M34" s="304">
        <f>0</f>
        <v>0</v>
      </c>
    </row>
    <row r="35" spans="1:13" ht="22.5">
      <c r="A35" s="302" t="s">
        <v>645</v>
      </c>
      <c r="B35" s="304">
        <f>156852173.43</f>
        <v>156852173.43</v>
      </c>
      <c r="C35" s="304">
        <f>156852173.43</f>
        <v>156852173.43</v>
      </c>
      <c r="D35" s="304">
        <f>97137970.62</f>
        <v>97137970.62</v>
      </c>
      <c r="E35" s="304">
        <f>700000</f>
        <v>700000</v>
      </c>
      <c r="F35" s="304">
        <f>0</f>
        <v>0</v>
      </c>
      <c r="G35" s="304">
        <f>96437970.62</f>
        <v>96437970.62</v>
      </c>
      <c r="H35" s="304">
        <f>0</f>
        <v>0</v>
      </c>
      <c r="I35" s="304">
        <f>0</f>
        <v>0</v>
      </c>
      <c r="J35" s="304">
        <f>0</f>
        <v>0</v>
      </c>
      <c r="K35" s="304">
        <f>0</f>
        <v>0</v>
      </c>
      <c r="L35" s="304">
        <f>0</f>
        <v>0</v>
      </c>
      <c r="M35" s="304">
        <f>0</f>
        <v>0</v>
      </c>
    </row>
    <row r="36" spans="1:13" ht="13.5" customHeight="1">
      <c r="A36" s="303" t="s">
        <v>644</v>
      </c>
      <c r="B36" s="304">
        <f>108282195.87</f>
        <v>108282195.87</v>
      </c>
      <c r="C36" s="304">
        <f>108282195.87</f>
        <v>108282195.87</v>
      </c>
      <c r="D36" s="304">
        <f>72861963.5</f>
        <v>72861963.5</v>
      </c>
      <c r="E36" s="304">
        <f>0</f>
        <v>0</v>
      </c>
      <c r="F36" s="304">
        <f>0</f>
        <v>0</v>
      </c>
      <c r="G36" s="304">
        <f>72861963.5</f>
        <v>72861963.5</v>
      </c>
      <c r="H36" s="304">
        <f>0</f>
        <v>0</v>
      </c>
      <c r="I36" s="304">
        <f>0</f>
        <v>0</v>
      </c>
      <c r="J36" s="304">
        <f>0</f>
        <v>0</v>
      </c>
      <c r="K36" s="304">
        <f>0</f>
        <v>0</v>
      </c>
      <c r="L36" s="304">
        <f>0</f>
        <v>0</v>
      </c>
      <c r="M36" s="304">
        <f>0</f>
        <v>0</v>
      </c>
    </row>
    <row r="37" spans="1:13" ht="13.5" customHeight="1">
      <c r="A37" s="302" t="s">
        <v>655</v>
      </c>
      <c r="B37" s="304">
        <f>21154935.13</f>
        <v>21154935.13</v>
      </c>
      <c r="C37" s="304">
        <f>21154935.13</f>
        <v>21154935.13</v>
      </c>
      <c r="D37" s="304">
        <f>1780554.87</f>
        <v>1780554.87</v>
      </c>
      <c r="E37" s="304">
        <f>0</f>
        <v>0</v>
      </c>
      <c r="F37" s="304">
        <f>0</f>
        <v>0</v>
      </c>
      <c r="G37" s="304">
        <f>1780554.87</f>
        <v>1780554.87</v>
      </c>
      <c r="H37" s="304">
        <f>0</f>
        <v>0</v>
      </c>
      <c r="I37" s="304">
        <f>0</f>
        <v>0</v>
      </c>
      <c r="J37" s="304">
        <f>19374380.26</f>
        <v>19374380.26</v>
      </c>
      <c r="K37" s="304">
        <f>0</f>
        <v>0</v>
      </c>
      <c r="L37" s="304">
        <f>0</f>
        <v>0</v>
      </c>
      <c r="M37" s="304">
        <f>0</f>
        <v>0</v>
      </c>
    </row>
    <row r="38" spans="1:13" ht="22.5">
      <c r="A38" s="302" t="s">
        <v>656</v>
      </c>
      <c r="B38" s="304">
        <f>4201364168.05</f>
        <v>4201364168.05</v>
      </c>
      <c r="C38" s="304">
        <f>4201340617</f>
        <v>4201340617</v>
      </c>
      <c r="D38" s="304">
        <f>119161335.96</f>
        <v>119161335.96</v>
      </c>
      <c r="E38" s="304">
        <f>33256030.61</f>
        <v>33256030.61</v>
      </c>
      <c r="F38" s="304">
        <f>9826003.62</f>
        <v>9826003.62</v>
      </c>
      <c r="G38" s="304">
        <f>85901262.69</f>
        <v>85901262.69</v>
      </c>
      <c r="H38" s="304">
        <f>4042.66</f>
        <v>4042.66</v>
      </c>
      <c r="I38" s="304">
        <f>8548</f>
        <v>8548</v>
      </c>
      <c r="J38" s="304">
        <f>50169.02</f>
        <v>50169.02</v>
      </c>
      <c r="K38" s="304">
        <f>23551.05</f>
        <v>23551.05</v>
      </c>
      <c r="L38" s="304">
        <f>67.2</f>
        <v>67.2</v>
      </c>
      <c r="M38" s="304">
        <f>0</f>
        <v>0</v>
      </c>
    </row>
    <row r="39" spans="1:13" ht="12.75">
      <c r="A39" s="302" t="s">
        <v>648</v>
      </c>
      <c r="B39" s="304">
        <f>1643125973.17</f>
        <v>1643125973.17</v>
      </c>
      <c r="C39" s="304">
        <f>1643107439.32</f>
        <v>1643107439.32</v>
      </c>
      <c r="D39" s="304">
        <f>9627289.47</f>
        <v>9627289.47</v>
      </c>
      <c r="E39" s="304">
        <f>204903.2</f>
        <v>204903.2</v>
      </c>
      <c r="F39" s="304">
        <f>171.32</f>
        <v>171.32</v>
      </c>
      <c r="G39" s="304">
        <f>9421089.88</f>
        <v>9421089.88</v>
      </c>
      <c r="H39" s="304">
        <f>1296.39</f>
        <v>1296.39</v>
      </c>
      <c r="I39" s="304">
        <f>0</f>
        <v>0</v>
      </c>
      <c r="J39" s="304">
        <f>12628.33</f>
        <v>12628.33</v>
      </c>
      <c r="K39" s="304">
        <f>18533.85</f>
        <v>18533.85</v>
      </c>
      <c r="L39" s="304">
        <f>0</f>
        <v>0</v>
      </c>
      <c r="M39" s="304">
        <f>0</f>
        <v>0</v>
      </c>
    </row>
    <row r="41" spans="2:13" ht="13.5" customHeight="1">
      <c r="B41" s="426" t="s">
        <v>657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</row>
    <row r="43" spans="2:11" ht="13.5" customHeight="1">
      <c r="B43" s="427" t="s">
        <v>463</v>
      </c>
      <c r="C43" s="428"/>
      <c r="D43" s="428"/>
      <c r="E43" s="429"/>
      <c r="F43" s="436" t="s">
        <v>465</v>
      </c>
      <c r="G43" s="439" t="s">
        <v>631</v>
      </c>
      <c r="H43" s="439"/>
      <c r="I43" s="439"/>
      <c r="J43" s="439"/>
      <c r="K43" s="440"/>
    </row>
    <row r="44" spans="2:11" ht="13.5" customHeight="1">
      <c r="B44" s="430"/>
      <c r="C44" s="431"/>
      <c r="D44" s="431"/>
      <c r="E44" s="432"/>
      <c r="F44" s="437"/>
      <c r="G44" s="436" t="s">
        <v>658</v>
      </c>
      <c r="H44" s="439" t="s">
        <v>633</v>
      </c>
      <c r="I44" s="439"/>
      <c r="J44" s="439"/>
      <c r="K44" s="440"/>
    </row>
    <row r="45" spans="2:11" ht="24" customHeight="1">
      <c r="B45" s="430"/>
      <c r="C45" s="431"/>
      <c r="D45" s="431"/>
      <c r="E45" s="432"/>
      <c r="F45" s="437"/>
      <c r="G45" s="437"/>
      <c r="H45" s="436" t="s">
        <v>638</v>
      </c>
      <c r="I45" s="298" t="s">
        <v>631</v>
      </c>
      <c r="J45" s="421" t="s">
        <v>639</v>
      </c>
      <c r="K45" s="421" t="s">
        <v>640</v>
      </c>
    </row>
    <row r="46" spans="2:11" ht="11.25" customHeight="1">
      <c r="B46" s="430"/>
      <c r="C46" s="431"/>
      <c r="D46" s="431"/>
      <c r="E46" s="432"/>
      <c r="F46" s="437"/>
      <c r="G46" s="437"/>
      <c r="H46" s="437"/>
      <c r="I46" s="421" t="s">
        <v>641</v>
      </c>
      <c r="J46" s="422"/>
      <c r="K46" s="422"/>
    </row>
    <row r="47" spans="2:11" ht="11.25" customHeight="1">
      <c r="B47" s="433"/>
      <c r="C47" s="434"/>
      <c r="D47" s="434"/>
      <c r="E47" s="435"/>
      <c r="F47" s="438"/>
      <c r="G47" s="438"/>
      <c r="H47" s="438"/>
      <c r="I47" s="423"/>
      <c r="J47" s="423"/>
      <c r="K47" s="423"/>
    </row>
    <row r="48" spans="2:11" ht="13.5" customHeight="1">
      <c r="B48" s="425">
        <v>1</v>
      </c>
      <c r="C48" s="425"/>
      <c r="D48" s="425"/>
      <c r="E48" s="425"/>
      <c r="F48" s="299">
        <v>2</v>
      </c>
      <c r="G48" s="299">
        <v>3</v>
      </c>
      <c r="H48" s="299">
        <v>4</v>
      </c>
      <c r="I48" s="299">
        <v>5</v>
      </c>
      <c r="J48" s="299">
        <v>6</v>
      </c>
      <c r="K48" s="299">
        <v>7</v>
      </c>
    </row>
    <row r="49" spans="2:11" ht="33.75" customHeight="1">
      <c r="B49" s="424" t="s">
        <v>659</v>
      </c>
      <c r="C49" s="424"/>
      <c r="D49" s="424"/>
      <c r="E49" s="424"/>
      <c r="F49" s="301">
        <f>747418074.62</f>
        <v>747418074.62</v>
      </c>
      <c r="G49" s="301">
        <f>378884571.63</f>
        <v>378884571.63</v>
      </c>
      <c r="H49" s="301">
        <f>52227173.46</f>
        <v>52227173.46</v>
      </c>
      <c r="I49" s="301">
        <f>8970697.86</f>
        <v>8970697.86</v>
      </c>
      <c r="J49" s="301">
        <f>322353788.08</f>
        <v>322353788.08</v>
      </c>
      <c r="K49" s="301">
        <f>4303610.09</f>
        <v>4303610.09</v>
      </c>
    </row>
    <row r="50" spans="2:11" ht="33.75" customHeight="1">
      <c r="B50" s="424" t="s">
        <v>660</v>
      </c>
      <c r="C50" s="424"/>
      <c r="D50" s="424"/>
      <c r="E50" s="424"/>
      <c r="F50" s="301">
        <f>62892426.94</f>
        <v>62892426.94</v>
      </c>
      <c r="G50" s="301">
        <f>30418593.63</f>
        <v>30418593.63</v>
      </c>
      <c r="H50" s="301">
        <f>3701575.99</f>
        <v>3701575.99</v>
      </c>
      <c r="I50" s="301">
        <f>0</f>
        <v>0</v>
      </c>
      <c r="J50" s="301">
        <f>26064213.64</f>
        <v>26064213.64</v>
      </c>
      <c r="K50" s="301">
        <f>652804</f>
        <v>652804</v>
      </c>
    </row>
    <row r="51" spans="2:11" ht="33.75" customHeight="1">
      <c r="B51" s="424" t="s">
        <v>661</v>
      </c>
      <c r="C51" s="424"/>
      <c r="D51" s="424"/>
      <c r="E51" s="424"/>
      <c r="F51" s="301">
        <f>44167</f>
        <v>44167</v>
      </c>
      <c r="G51" s="301">
        <f>0</f>
        <v>0</v>
      </c>
      <c r="H51" s="301">
        <f>0</f>
        <v>0</v>
      </c>
      <c r="I51" s="301">
        <f>0</f>
        <v>0</v>
      </c>
      <c r="J51" s="301">
        <f>0</f>
        <v>0</v>
      </c>
      <c r="K51" s="301">
        <f>0</f>
        <v>0</v>
      </c>
    </row>
    <row r="52" spans="2:11" ht="22.5" customHeight="1">
      <c r="B52" s="424" t="s">
        <v>662</v>
      </c>
      <c r="C52" s="424"/>
      <c r="D52" s="424"/>
      <c r="E52" s="424"/>
      <c r="F52" s="301">
        <f>31551315.19</f>
        <v>31551315.19</v>
      </c>
      <c r="G52" s="301">
        <f>1064598.37</f>
        <v>1064598.37</v>
      </c>
      <c r="H52" s="301">
        <f>0</f>
        <v>0</v>
      </c>
      <c r="I52" s="301">
        <f>0</f>
        <v>0</v>
      </c>
      <c r="J52" s="301">
        <f>411814.37</f>
        <v>411814.37</v>
      </c>
      <c r="K52" s="301">
        <f>652784</f>
        <v>652784</v>
      </c>
    </row>
    <row r="53" spans="2:11" ht="33.75" customHeight="1">
      <c r="B53" s="424" t="s">
        <v>663</v>
      </c>
      <c r="C53" s="424"/>
      <c r="D53" s="424"/>
      <c r="E53" s="424"/>
      <c r="F53" s="301">
        <f>32577392.88</f>
        <v>32577392.88</v>
      </c>
      <c r="G53" s="301">
        <f>1638288.95</f>
        <v>1638288.95</v>
      </c>
      <c r="H53" s="301">
        <f>0</f>
        <v>0</v>
      </c>
      <c r="I53" s="301">
        <f>0</f>
        <v>0</v>
      </c>
      <c r="J53" s="301">
        <f>985504.95</f>
        <v>985504.95</v>
      </c>
      <c r="K53" s="301">
        <f>652784</f>
        <v>652784</v>
      </c>
    </row>
    <row r="54" spans="2:11" ht="33.75" customHeight="1">
      <c r="B54" s="424" t="s">
        <v>664</v>
      </c>
      <c r="C54" s="424"/>
      <c r="D54" s="424"/>
      <c r="E54" s="424"/>
      <c r="F54" s="301">
        <f>4000</f>
        <v>4000</v>
      </c>
      <c r="G54" s="301">
        <f>0</f>
        <v>0</v>
      </c>
      <c r="H54" s="301">
        <f>0</f>
        <v>0</v>
      </c>
      <c r="I54" s="301">
        <f>0</f>
        <v>0</v>
      </c>
      <c r="J54" s="301">
        <f>0</f>
        <v>0</v>
      </c>
      <c r="K54" s="301">
        <f>0</f>
        <v>0</v>
      </c>
    </row>
    <row r="55" spans="2:11" ht="22.5" customHeight="1">
      <c r="B55" s="424" t="s">
        <v>665</v>
      </c>
      <c r="C55" s="424"/>
      <c r="D55" s="424"/>
      <c r="E55" s="424"/>
      <c r="F55" s="301">
        <f>212713002.05</f>
        <v>212713002.05</v>
      </c>
      <c r="G55" s="301">
        <f>76614611</f>
        <v>76614611</v>
      </c>
      <c r="H55" s="301">
        <f>0</f>
        <v>0</v>
      </c>
      <c r="I55" s="301">
        <f>0</f>
        <v>0</v>
      </c>
      <c r="J55" s="301">
        <f>71658216.91</f>
        <v>71658216.91</v>
      </c>
      <c r="K55" s="301">
        <f>4956394.09</f>
        <v>4956394.09</v>
      </c>
    </row>
    <row r="57" ht="13.5" customHeight="1">
      <c r="A57" s="361" t="s">
        <v>687</v>
      </c>
    </row>
  </sheetData>
  <mergeCells count="59">
    <mergeCell ref="A1:M1"/>
    <mergeCell ref="B52:E52"/>
    <mergeCell ref="B53:E53"/>
    <mergeCell ref="B54:E54"/>
    <mergeCell ref="B43:E47"/>
    <mergeCell ref="F43:F47"/>
    <mergeCell ref="G43:K43"/>
    <mergeCell ref="G44:G47"/>
    <mergeCell ref="H44:K44"/>
    <mergeCell ref="H45:H47"/>
    <mergeCell ref="B55:E55"/>
    <mergeCell ref="B48:E48"/>
    <mergeCell ref="B49:E49"/>
    <mergeCell ref="B50:E50"/>
    <mergeCell ref="B51:E51"/>
    <mergeCell ref="J45:J47"/>
    <mergeCell ref="K45:K47"/>
    <mergeCell ref="I46:I47"/>
    <mergeCell ref="H28:H30"/>
    <mergeCell ref="F29:F30"/>
    <mergeCell ref="B41:M41"/>
    <mergeCell ref="K26:K30"/>
    <mergeCell ref="L26:M26"/>
    <mergeCell ref="D27:D30"/>
    <mergeCell ref="E27:H27"/>
    <mergeCell ref="I27:I30"/>
    <mergeCell ref="J27:J30"/>
    <mergeCell ref="L27:L30"/>
    <mergeCell ref="M27:M30"/>
    <mergeCell ref="E28:E30"/>
    <mergeCell ref="G28:G30"/>
    <mergeCell ref="F10:F11"/>
    <mergeCell ref="A22:M22"/>
    <mergeCell ref="A24:A30"/>
    <mergeCell ref="B24:B30"/>
    <mergeCell ref="C24:M24"/>
    <mergeCell ref="C25:J25"/>
    <mergeCell ref="K25:M25"/>
    <mergeCell ref="C26:C30"/>
    <mergeCell ref="D26:J26"/>
    <mergeCell ref="L7:M7"/>
    <mergeCell ref="D8:D11"/>
    <mergeCell ref="E8:H8"/>
    <mergeCell ref="I8:I11"/>
    <mergeCell ref="J8:J11"/>
    <mergeCell ref="L8:L11"/>
    <mergeCell ref="M8:M11"/>
    <mergeCell ref="E9:E11"/>
    <mergeCell ref="G9:G11"/>
    <mergeCell ref="H9:H11"/>
    <mergeCell ref="A3:M3"/>
    <mergeCell ref="A5:A11"/>
    <mergeCell ref="B5:B11"/>
    <mergeCell ref="C5:M5"/>
    <mergeCell ref="C6:J6"/>
    <mergeCell ref="K6:M6"/>
    <mergeCell ref="C7:C11"/>
    <mergeCell ref="D7:J7"/>
    <mergeCell ref="K7:K11"/>
  </mergeCells>
  <printOptions horizontalCentered="1"/>
  <pageMargins left="0.2362204724409449" right="0.15748031496062992" top="0.5118110236220472" bottom="0.4724409448818898" header="0.15748031496062992" footer="0.35433070866141736"/>
  <pageSetup firstPageNumber="5" useFirstPageNumber="1" horizontalDpi="1200" verticalDpi="1200" orientation="landscape" paperSize="9" scale="95" r:id="rId1"/>
  <headerFooter alignWithMargins="0">
    <oddFooter>&amp;RStrona &amp;P z 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8.57421875" style="1" customWidth="1"/>
    <col min="3" max="3" width="10.140625" style="1" bestFit="1" customWidth="1"/>
    <col min="4" max="4" width="16.28125" style="1" customWidth="1"/>
    <col min="5" max="5" width="16.421875" style="1" bestFit="1" customWidth="1"/>
    <col min="6" max="6" width="15.140625" style="1" customWidth="1"/>
    <col min="7" max="7" width="15.421875" style="1" bestFit="1" customWidth="1"/>
    <col min="8" max="8" width="13.57421875" style="1" customWidth="1"/>
    <col min="9" max="9" width="12.28125" style="1" customWidth="1"/>
    <col min="10" max="10" width="12.8515625" style="1" customWidth="1"/>
    <col min="11" max="11" width="5.57421875" style="1" bestFit="1" customWidth="1"/>
    <col min="12" max="12" width="4.57421875" style="1" bestFit="1" customWidth="1"/>
    <col min="13" max="16384" width="8.8515625" style="1" customWidth="1"/>
  </cols>
  <sheetData>
    <row r="2" spans="1:10" ht="12.75" customHeight="1">
      <c r="A2" s="487" t="s">
        <v>504</v>
      </c>
      <c r="B2" s="487"/>
      <c r="C2" s="487"/>
      <c r="D2" s="487"/>
      <c r="E2" s="487"/>
      <c r="F2" s="487"/>
      <c r="G2" s="487"/>
      <c r="H2" s="487"/>
      <c r="I2" s="487"/>
      <c r="J2" s="487"/>
    </row>
    <row r="3" spans="1:10" ht="21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</row>
    <row r="4" ht="13.5" thickBot="1">
      <c r="A4" s="2"/>
    </row>
    <row r="5" spans="1:12" ht="12.75" customHeight="1" thickBot="1">
      <c r="A5" s="472" t="s">
        <v>461</v>
      </c>
      <c r="B5" s="484" t="s">
        <v>1</v>
      </c>
      <c r="C5" s="484" t="s">
        <v>2</v>
      </c>
      <c r="D5" s="499" t="s">
        <v>494</v>
      </c>
      <c r="E5" s="484" t="s">
        <v>495</v>
      </c>
      <c r="F5" s="495" t="s">
        <v>3</v>
      </c>
      <c r="G5" s="497" t="s">
        <v>4</v>
      </c>
      <c r="H5" s="247" t="s">
        <v>5</v>
      </c>
      <c r="I5" s="484" t="s">
        <v>6</v>
      </c>
      <c r="J5" s="474" t="s">
        <v>7</v>
      </c>
      <c r="K5" s="491" t="s">
        <v>8</v>
      </c>
      <c r="L5" s="491" t="s">
        <v>9</v>
      </c>
    </row>
    <row r="6" spans="1:12" ht="28.5" customHeight="1" thickBot="1">
      <c r="A6" s="473"/>
      <c r="B6" s="485"/>
      <c r="C6" s="485"/>
      <c r="D6" s="500"/>
      <c r="E6" s="486"/>
      <c r="F6" s="496"/>
      <c r="G6" s="498"/>
      <c r="H6" s="248" t="s">
        <v>10</v>
      </c>
      <c r="I6" s="486"/>
      <c r="J6" s="490"/>
      <c r="K6" s="486"/>
      <c r="L6" s="486"/>
    </row>
    <row r="7" spans="1:12" ht="13.5" customHeight="1" thickBot="1">
      <c r="A7" s="473"/>
      <c r="B7" s="485"/>
      <c r="C7" s="486"/>
      <c r="D7" s="492" t="s">
        <v>11</v>
      </c>
      <c r="E7" s="492"/>
      <c r="F7" s="492"/>
      <c r="G7" s="492"/>
      <c r="H7" s="492"/>
      <c r="I7" s="492"/>
      <c r="J7" s="492"/>
      <c r="K7" s="493" t="s">
        <v>12</v>
      </c>
      <c r="L7" s="494"/>
    </row>
    <row r="8" spans="1:12" s="10" customFormat="1" ht="12" thickBot="1">
      <c r="A8" s="5">
        <v>1</v>
      </c>
      <c r="B8" s="6">
        <v>2</v>
      </c>
      <c r="C8" s="91">
        <v>3</v>
      </c>
      <c r="D8" s="189">
        <v>4</v>
      </c>
      <c r="E8" s="139">
        <v>5</v>
      </c>
      <c r="F8" s="7">
        <v>6</v>
      </c>
      <c r="G8" s="117">
        <v>7</v>
      </c>
      <c r="H8" s="96">
        <v>8</v>
      </c>
      <c r="I8" s="8">
        <v>9</v>
      </c>
      <c r="J8" s="9">
        <v>10</v>
      </c>
      <c r="K8" s="5">
        <v>11</v>
      </c>
      <c r="L8" s="6">
        <v>12</v>
      </c>
    </row>
    <row r="9" spans="1:12" ht="15" customHeight="1">
      <c r="A9" s="249" t="s">
        <v>13</v>
      </c>
      <c r="B9" s="250" t="s">
        <v>14</v>
      </c>
      <c r="C9" s="251">
        <v>2882317</v>
      </c>
      <c r="D9" s="252">
        <v>979792072.5299999</v>
      </c>
      <c r="E9" s="253">
        <v>877514650.0500009</v>
      </c>
      <c r="F9" s="177">
        <f aca="true" t="shared" si="0" ref="F9:F25">D9-E9</f>
        <v>102277422.47999895</v>
      </c>
      <c r="G9" s="254">
        <v>161354274.75</v>
      </c>
      <c r="H9" s="255">
        <v>0</v>
      </c>
      <c r="I9" s="54">
        <f aca="true" t="shared" si="1" ref="I9:I25">G9/C9</f>
        <v>55.98075255081242</v>
      </c>
      <c r="J9" s="55">
        <f aca="true" t="shared" si="2" ref="J9:J25">H9/C9</f>
        <v>0</v>
      </c>
      <c r="K9" s="56">
        <f aca="true" t="shared" si="3" ref="K9:K25">G9/D9*100</f>
        <v>16.468215989271496</v>
      </c>
      <c r="L9" s="33">
        <f aca="true" t="shared" si="4" ref="L9:L25">H9/D9*100</f>
        <v>0</v>
      </c>
    </row>
    <row r="10" spans="1:12" ht="15" customHeight="1">
      <c r="A10" s="256" t="s">
        <v>15</v>
      </c>
      <c r="B10" s="257" t="s">
        <v>16</v>
      </c>
      <c r="C10" s="258">
        <v>2066371</v>
      </c>
      <c r="D10" s="259">
        <v>531490955.28999984</v>
      </c>
      <c r="E10" s="260">
        <v>594098806.3800006</v>
      </c>
      <c r="F10" s="107">
        <f t="shared" si="0"/>
        <v>-62607851.09000075</v>
      </c>
      <c r="G10" s="261">
        <v>271241995.62</v>
      </c>
      <c r="H10" s="262">
        <v>0</v>
      </c>
      <c r="I10" s="57">
        <f t="shared" si="1"/>
        <v>131.2649062632025</v>
      </c>
      <c r="J10" s="58">
        <f t="shared" si="2"/>
        <v>0</v>
      </c>
      <c r="K10" s="56">
        <f t="shared" si="3"/>
        <v>51.03416961667786</v>
      </c>
      <c r="L10" s="33">
        <f t="shared" si="4"/>
        <v>0</v>
      </c>
    </row>
    <row r="11" spans="1:12" ht="15" customHeight="1">
      <c r="A11" s="256" t="s">
        <v>17</v>
      </c>
      <c r="B11" s="257" t="s">
        <v>18</v>
      </c>
      <c r="C11" s="258">
        <v>2172766</v>
      </c>
      <c r="D11" s="259">
        <v>561427325.8200003</v>
      </c>
      <c r="E11" s="260">
        <v>520750157.7300002</v>
      </c>
      <c r="F11" s="107">
        <f t="shared" si="0"/>
        <v>40677168.09000009</v>
      </c>
      <c r="G11" s="261">
        <v>140703056.98</v>
      </c>
      <c r="H11" s="262">
        <v>101.64</v>
      </c>
      <c r="I11" s="57">
        <f t="shared" si="1"/>
        <v>64.75757489761898</v>
      </c>
      <c r="J11" s="58">
        <f t="shared" si="2"/>
        <v>4.6779082515098264E-05</v>
      </c>
      <c r="K11" s="56">
        <f t="shared" si="3"/>
        <v>25.061668805396003</v>
      </c>
      <c r="L11" s="33">
        <f t="shared" si="4"/>
        <v>1.8103856959856436E-05</v>
      </c>
    </row>
    <row r="12" spans="1:12" ht="15" customHeight="1">
      <c r="A12" s="256" t="s">
        <v>19</v>
      </c>
      <c r="B12" s="257" t="s">
        <v>20</v>
      </c>
      <c r="C12" s="258">
        <v>1008520</v>
      </c>
      <c r="D12" s="259">
        <v>356728521.76000017</v>
      </c>
      <c r="E12" s="260">
        <v>334479018.6800003</v>
      </c>
      <c r="F12" s="107">
        <f t="shared" si="0"/>
        <v>22249503.079999864</v>
      </c>
      <c r="G12" s="261">
        <v>152616840.48</v>
      </c>
      <c r="H12" s="262">
        <v>1864923.36</v>
      </c>
      <c r="I12" s="57">
        <f t="shared" si="1"/>
        <v>151.32752992503865</v>
      </c>
      <c r="J12" s="58">
        <f t="shared" si="2"/>
        <v>1.849168444849879</v>
      </c>
      <c r="K12" s="56">
        <f t="shared" si="3"/>
        <v>42.78234880884505</v>
      </c>
      <c r="L12" s="33">
        <f t="shared" si="4"/>
        <v>0.5227850441559824</v>
      </c>
    </row>
    <row r="13" spans="1:12" ht="15" customHeight="1">
      <c r="A13" s="256" t="s">
        <v>21</v>
      </c>
      <c r="B13" s="257" t="s">
        <v>22</v>
      </c>
      <c r="C13" s="258">
        <v>2566198</v>
      </c>
      <c r="D13" s="259">
        <v>561733488.3200003</v>
      </c>
      <c r="E13" s="260">
        <v>559583296.5600003</v>
      </c>
      <c r="F13" s="107">
        <f t="shared" si="0"/>
        <v>2150191.7599999905</v>
      </c>
      <c r="G13" s="261">
        <v>39493420.22</v>
      </c>
      <c r="H13" s="262">
        <v>171289.47</v>
      </c>
      <c r="I13" s="57">
        <f t="shared" si="1"/>
        <v>15.389856986873188</v>
      </c>
      <c r="J13" s="58">
        <f t="shared" si="2"/>
        <v>0.0667483452173215</v>
      </c>
      <c r="K13" s="56">
        <f t="shared" si="3"/>
        <v>7.030633038830321</v>
      </c>
      <c r="L13" s="33">
        <f t="shared" si="4"/>
        <v>0.030493013779947953</v>
      </c>
    </row>
    <row r="14" spans="1:12" ht="15" customHeight="1">
      <c r="A14" s="256" t="s">
        <v>23</v>
      </c>
      <c r="B14" s="257" t="s">
        <v>24</v>
      </c>
      <c r="C14" s="258">
        <v>3271206</v>
      </c>
      <c r="D14" s="259">
        <v>745771603.9799998</v>
      </c>
      <c r="E14" s="260">
        <v>726192723.4899983</v>
      </c>
      <c r="F14" s="107">
        <f t="shared" si="0"/>
        <v>19578880.49000144</v>
      </c>
      <c r="G14" s="261">
        <v>157811558.62</v>
      </c>
      <c r="H14" s="262">
        <v>335141.27</v>
      </c>
      <c r="I14" s="57">
        <f t="shared" si="1"/>
        <v>48.24262324659468</v>
      </c>
      <c r="J14" s="58">
        <f t="shared" si="2"/>
        <v>0.102451900002629</v>
      </c>
      <c r="K14" s="56">
        <f t="shared" si="3"/>
        <v>21.160843048702645</v>
      </c>
      <c r="L14" s="33">
        <f t="shared" si="4"/>
        <v>0.04493886173882639</v>
      </c>
    </row>
    <row r="15" spans="1:12" ht="15" customHeight="1">
      <c r="A15" s="256" t="s">
        <v>25</v>
      </c>
      <c r="B15" s="257" t="s">
        <v>26</v>
      </c>
      <c r="C15" s="258">
        <v>5171702</v>
      </c>
      <c r="D15" s="259">
        <v>2482641305.109999</v>
      </c>
      <c r="E15" s="260">
        <v>2728325009.1299996</v>
      </c>
      <c r="F15" s="107">
        <f t="shared" si="0"/>
        <v>-245683704.02000046</v>
      </c>
      <c r="G15" s="261">
        <v>352019607.17</v>
      </c>
      <c r="H15" s="262">
        <v>79670.38</v>
      </c>
      <c r="I15" s="57">
        <f t="shared" si="1"/>
        <v>68.06649090956904</v>
      </c>
      <c r="J15" s="58">
        <f t="shared" si="2"/>
        <v>0.015405060075000455</v>
      </c>
      <c r="K15" s="56">
        <f t="shared" si="3"/>
        <v>14.179237509882764</v>
      </c>
      <c r="L15" s="33">
        <f t="shared" si="4"/>
        <v>0.0032090974977341735</v>
      </c>
    </row>
    <row r="16" spans="1:12" ht="15" customHeight="1">
      <c r="A16" s="256" t="s">
        <v>27</v>
      </c>
      <c r="B16" s="257" t="s">
        <v>28</v>
      </c>
      <c r="C16" s="258">
        <v>1041941</v>
      </c>
      <c r="D16" s="259">
        <v>295042448.50000006</v>
      </c>
      <c r="E16" s="260">
        <v>345984924.8800001</v>
      </c>
      <c r="F16" s="107">
        <f t="shared" si="0"/>
        <v>-50942476.380000055</v>
      </c>
      <c r="G16" s="261">
        <v>133721844.91</v>
      </c>
      <c r="H16" s="262">
        <v>0</v>
      </c>
      <c r="I16" s="57">
        <f t="shared" si="1"/>
        <v>128.33917170933861</v>
      </c>
      <c r="J16" s="58">
        <f t="shared" si="2"/>
        <v>0</v>
      </c>
      <c r="K16" s="56">
        <f t="shared" si="3"/>
        <v>45.322917292018055</v>
      </c>
      <c r="L16" s="33">
        <f t="shared" si="4"/>
        <v>0</v>
      </c>
    </row>
    <row r="17" spans="1:12" ht="15" customHeight="1">
      <c r="A17" s="256" t="s">
        <v>29</v>
      </c>
      <c r="B17" s="257" t="s">
        <v>30</v>
      </c>
      <c r="C17" s="258">
        <v>2097564</v>
      </c>
      <c r="D17" s="259">
        <v>543650099.73</v>
      </c>
      <c r="E17" s="260">
        <v>513451380.17999977</v>
      </c>
      <c r="F17" s="107">
        <f t="shared" si="0"/>
        <v>30198719.55000025</v>
      </c>
      <c r="G17" s="261">
        <v>87520370.59</v>
      </c>
      <c r="H17" s="262">
        <v>574633.13</v>
      </c>
      <c r="I17" s="57">
        <f t="shared" si="1"/>
        <v>41.72476767812567</v>
      </c>
      <c r="J17" s="58">
        <f t="shared" si="2"/>
        <v>0.2739526088357733</v>
      </c>
      <c r="K17" s="56">
        <f t="shared" si="3"/>
        <v>16.098658058458255</v>
      </c>
      <c r="L17" s="33">
        <f t="shared" si="4"/>
        <v>0.10569907561598674</v>
      </c>
    </row>
    <row r="18" spans="1:12" ht="15" customHeight="1">
      <c r="A18" s="256" t="s">
        <v>31</v>
      </c>
      <c r="B18" s="257" t="s">
        <v>32</v>
      </c>
      <c r="C18" s="258">
        <v>1196101</v>
      </c>
      <c r="D18" s="259">
        <v>353443242.8600001</v>
      </c>
      <c r="E18" s="260">
        <v>304951502.92999995</v>
      </c>
      <c r="F18" s="107">
        <f t="shared" si="0"/>
        <v>48491739.93000013</v>
      </c>
      <c r="G18" s="261">
        <v>73074519.6</v>
      </c>
      <c r="H18" s="262">
        <v>668.95</v>
      </c>
      <c r="I18" s="57">
        <f t="shared" si="1"/>
        <v>61.09393738488639</v>
      </c>
      <c r="J18" s="58">
        <f t="shared" si="2"/>
        <v>0.0005592755126866377</v>
      </c>
      <c r="K18" s="56">
        <f t="shared" si="3"/>
        <v>20.675036537321787</v>
      </c>
      <c r="L18" s="33">
        <f t="shared" si="4"/>
        <v>0.00018926659754108614</v>
      </c>
    </row>
    <row r="19" spans="1:12" ht="15" customHeight="1">
      <c r="A19" s="256" t="s">
        <v>33</v>
      </c>
      <c r="B19" s="257" t="s">
        <v>34</v>
      </c>
      <c r="C19" s="258">
        <v>2203595</v>
      </c>
      <c r="D19" s="259">
        <v>630806415.8999999</v>
      </c>
      <c r="E19" s="260">
        <v>597775534.0300006</v>
      </c>
      <c r="F19" s="107">
        <f t="shared" si="0"/>
        <v>33030881.86999929</v>
      </c>
      <c r="G19" s="261">
        <v>69895361.32</v>
      </c>
      <c r="H19" s="262">
        <v>0</v>
      </c>
      <c r="I19" s="57">
        <f t="shared" si="1"/>
        <v>31.718787399680973</v>
      </c>
      <c r="J19" s="58">
        <f t="shared" si="2"/>
        <v>0</v>
      </c>
      <c r="K19" s="56">
        <f t="shared" si="3"/>
        <v>11.080318709231443</v>
      </c>
      <c r="L19" s="33">
        <f t="shared" si="4"/>
        <v>0</v>
      </c>
    </row>
    <row r="20" spans="1:12" ht="15" customHeight="1">
      <c r="A20" s="256" t="s">
        <v>35</v>
      </c>
      <c r="B20" s="257" t="s">
        <v>36</v>
      </c>
      <c r="C20" s="258">
        <v>4669137</v>
      </c>
      <c r="D20" s="259">
        <v>1126385138.080001</v>
      </c>
      <c r="E20" s="260">
        <v>992706427.5900012</v>
      </c>
      <c r="F20" s="107">
        <f t="shared" si="0"/>
        <v>133678710.48999989</v>
      </c>
      <c r="G20" s="261">
        <v>4081018.8</v>
      </c>
      <c r="H20" s="262">
        <v>81018.8</v>
      </c>
      <c r="I20" s="57">
        <f t="shared" si="1"/>
        <v>0.8740413485404261</v>
      </c>
      <c r="J20" s="58">
        <f t="shared" si="2"/>
        <v>0.017351986030823257</v>
      </c>
      <c r="K20" s="56">
        <f t="shared" si="3"/>
        <v>0.3623111369310474</v>
      </c>
      <c r="L20" s="33">
        <f t="shared" si="4"/>
        <v>0.007192815073723538</v>
      </c>
    </row>
    <row r="21" spans="1:12" ht="15" customHeight="1">
      <c r="A21" s="256" t="s">
        <v>37</v>
      </c>
      <c r="B21" s="257" t="s">
        <v>38</v>
      </c>
      <c r="C21" s="258">
        <v>1279838</v>
      </c>
      <c r="D21" s="259">
        <v>344330971.81000006</v>
      </c>
      <c r="E21" s="260">
        <v>312507941.50000024</v>
      </c>
      <c r="F21" s="107">
        <f t="shared" si="0"/>
        <v>31823030.309999824</v>
      </c>
      <c r="G21" s="261">
        <v>48133244.93</v>
      </c>
      <c r="H21" s="262">
        <v>6151.65</v>
      </c>
      <c r="I21" s="57">
        <f t="shared" si="1"/>
        <v>37.60885747258637</v>
      </c>
      <c r="J21" s="58">
        <f t="shared" si="2"/>
        <v>0.004806584895900887</v>
      </c>
      <c r="K21" s="56">
        <f t="shared" si="3"/>
        <v>13.978773003480981</v>
      </c>
      <c r="L21" s="33">
        <f t="shared" si="4"/>
        <v>0.0017865514588081978</v>
      </c>
    </row>
    <row r="22" spans="1:12" ht="15" customHeight="1">
      <c r="A22" s="256" t="s">
        <v>39</v>
      </c>
      <c r="B22" s="257" t="s">
        <v>40</v>
      </c>
      <c r="C22" s="258">
        <v>1426883</v>
      </c>
      <c r="D22" s="259">
        <v>435838768.6999999</v>
      </c>
      <c r="E22" s="260">
        <v>440382704.0399998</v>
      </c>
      <c r="F22" s="107">
        <f t="shared" si="0"/>
        <v>-4543935.339999855</v>
      </c>
      <c r="G22" s="261">
        <v>158503623.56</v>
      </c>
      <c r="H22" s="262">
        <v>8237.37</v>
      </c>
      <c r="I22" s="57">
        <f t="shared" si="1"/>
        <v>111.08382646650075</v>
      </c>
      <c r="J22" s="58">
        <f t="shared" si="2"/>
        <v>0.0057729820875292515</v>
      </c>
      <c r="K22" s="56">
        <f t="shared" si="3"/>
        <v>36.367490673851115</v>
      </c>
      <c r="L22" s="33">
        <f t="shared" si="4"/>
        <v>0.001890003962834709</v>
      </c>
    </row>
    <row r="23" spans="1:12" ht="15" customHeight="1">
      <c r="A23" s="256" t="s">
        <v>41</v>
      </c>
      <c r="B23" s="257" t="s">
        <v>42</v>
      </c>
      <c r="C23" s="258">
        <v>3378502</v>
      </c>
      <c r="D23" s="259">
        <v>914009052.8999999</v>
      </c>
      <c r="E23" s="260">
        <v>791338060.2299991</v>
      </c>
      <c r="F23" s="107">
        <f t="shared" si="0"/>
        <v>122670992.67000079</v>
      </c>
      <c r="G23" s="261">
        <v>106897193.07</v>
      </c>
      <c r="H23" s="262">
        <v>16762.18</v>
      </c>
      <c r="I23" s="57">
        <f t="shared" si="1"/>
        <v>31.64041136278741</v>
      </c>
      <c r="J23" s="58">
        <f t="shared" si="2"/>
        <v>0.004961423731582814</v>
      </c>
      <c r="K23" s="56">
        <f t="shared" si="3"/>
        <v>11.695419507151799</v>
      </c>
      <c r="L23" s="33">
        <f t="shared" si="4"/>
        <v>0.0018339183782497964</v>
      </c>
    </row>
    <row r="24" spans="1:12" ht="15" customHeight="1" thickBot="1">
      <c r="A24" s="263" t="s">
        <v>43</v>
      </c>
      <c r="B24" s="264" t="s">
        <v>44</v>
      </c>
      <c r="C24" s="265">
        <v>1692838</v>
      </c>
      <c r="D24" s="266">
        <v>485801027.06</v>
      </c>
      <c r="E24" s="267">
        <v>452163495.5999998</v>
      </c>
      <c r="F24" s="107">
        <f t="shared" si="0"/>
        <v>33637531.46000022</v>
      </c>
      <c r="G24" s="268">
        <v>62251587.34</v>
      </c>
      <c r="H24" s="269">
        <v>0</v>
      </c>
      <c r="I24" s="59">
        <f t="shared" si="1"/>
        <v>36.773505403352246</v>
      </c>
      <c r="J24" s="60">
        <f t="shared" si="2"/>
        <v>0</v>
      </c>
      <c r="K24" s="61">
        <f t="shared" si="3"/>
        <v>12.814214847740837</v>
      </c>
      <c r="L24" s="39">
        <f t="shared" si="4"/>
        <v>0</v>
      </c>
    </row>
    <row r="25" spans="1:12" ht="15" customHeight="1" thickBot="1">
      <c r="A25" s="488" t="s">
        <v>45</v>
      </c>
      <c r="B25" s="489"/>
      <c r="C25" s="188">
        <f>SUM(C9:C24)</f>
        <v>38125479</v>
      </c>
      <c r="D25" s="190">
        <f>SUM(D9:D24)</f>
        <v>11348892438.349998</v>
      </c>
      <c r="E25" s="191">
        <f>SUM(E9:E24)</f>
        <v>11092205633.000002</v>
      </c>
      <c r="F25" s="192">
        <f t="shared" si="0"/>
        <v>256686805.34999657</v>
      </c>
      <c r="G25" s="116">
        <f>SUM(G9:G24)</f>
        <v>2019319517.9599998</v>
      </c>
      <c r="H25" s="100">
        <f>SUM(H9:H24)</f>
        <v>3138598.2</v>
      </c>
      <c r="I25" s="62">
        <f t="shared" si="1"/>
        <v>52.96509239818337</v>
      </c>
      <c r="J25" s="63">
        <f t="shared" si="2"/>
        <v>0.08232285291418896</v>
      </c>
      <c r="K25" s="270">
        <f t="shared" si="3"/>
        <v>17.793097687104225</v>
      </c>
      <c r="L25" s="271">
        <f t="shared" si="4"/>
        <v>0.02765554627510698</v>
      </c>
    </row>
    <row r="27" ht="12">
      <c r="A27" s="273" t="s">
        <v>505</v>
      </c>
    </row>
    <row r="28" ht="12">
      <c r="A28" s="272" t="s">
        <v>46</v>
      </c>
    </row>
  </sheetData>
  <mergeCells count="15">
    <mergeCell ref="L5:L6"/>
    <mergeCell ref="D7:J7"/>
    <mergeCell ref="K7:L7"/>
    <mergeCell ref="E5:E6"/>
    <mergeCell ref="F5:F6"/>
    <mergeCell ref="G5:G6"/>
    <mergeCell ref="I5:I6"/>
    <mergeCell ref="D5:D6"/>
    <mergeCell ref="A2:J3"/>
    <mergeCell ref="A25:B25"/>
    <mergeCell ref="J5:J6"/>
    <mergeCell ref="K5:K6"/>
    <mergeCell ref="A5:A7"/>
    <mergeCell ref="B5:B7"/>
    <mergeCell ref="C5:C7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3"/>
  <sheetViews>
    <sheetView showGridLines="0" workbookViewId="0" topLeftCell="B1">
      <selection activeCell="B1" sqref="B1:M1"/>
    </sheetView>
  </sheetViews>
  <sheetFormatPr defaultColWidth="9.140625" defaultRowHeight="12.75"/>
  <cols>
    <col min="1" max="1" width="5.7109375" style="311" hidden="1" customWidth="1"/>
    <col min="2" max="2" width="25.28125" style="311" customWidth="1"/>
    <col min="3" max="5" width="14.57421875" style="311" customWidth="1"/>
    <col min="6" max="6" width="13.8515625" style="311" customWidth="1"/>
    <col min="7" max="7" width="12.28125" style="311" customWidth="1"/>
    <col min="8" max="8" width="12.421875" style="311" customWidth="1"/>
    <col min="9" max="9" width="13.00390625" style="311" customWidth="1"/>
    <col min="10" max="10" width="9.140625" style="311" customWidth="1"/>
    <col min="11" max="11" width="7.421875" style="311" customWidth="1"/>
    <col min="12" max="12" width="7.28125" style="311" customWidth="1"/>
    <col min="13" max="13" width="8.140625" style="311" hidden="1" customWidth="1"/>
    <col min="14" max="16384" width="9.140625" style="311" customWidth="1"/>
  </cols>
  <sheetData>
    <row r="1" spans="2:13" ht="18.75" customHeight="1">
      <c r="B1" s="420" t="s">
        <v>689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ht="9.75" customHeight="1"/>
    <row r="3" spans="2:8" ht="66.75" customHeight="1">
      <c r="B3" s="419" t="s">
        <v>525</v>
      </c>
      <c r="C3" s="305" t="s">
        <v>610</v>
      </c>
      <c r="D3" s="305" t="s">
        <v>611</v>
      </c>
      <c r="E3" s="305" t="s">
        <v>612</v>
      </c>
      <c r="F3" s="308" t="s">
        <v>526</v>
      </c>
      <c r="G3" s="305" t="s">
        <v>527</v>
      </c>
      <c r="H3" s="305" t="s">
        <v>528</v>
      </c>
    </row>
    <row r="4" spans="2:8" ht="12.75">
      <c r="B4" s="419"/>
      <c r="C4" s="415"/>
      <c r="D4" s="415"/>
      <c r="E4" s="415"/>
      <c r="F4" s="415" t="s">
        <v>12</v>
      </c>
      <c r="G4" s="415"/>
      <c r="H4" s="415"/>
    </row>
    <row r="5" spans="2:8" ht="9.75" customHeight="1">
      <c r="B5" s="308">
        <v>1</v>
      </c>
      <c r="C5" s="310">
        <v>2</v>
      </c>
      <c r="D5" s="310">
        <v>3</v>
      </c>
      <c r="E5" s="310">
        <v>4</v>
      </c>
      <c r="F5" s="310">
        <v>5</v>
      </c>
      <c r="G5" s="310">
        <v>6</v>
      </c>
      <c r="H5" s="310">
        <v>7</v>
      </c>
    </row>
    <row r="6" spans="2:8" ht="25.5" customHeight="1">
      <c r="B6" s="312" t="s">
        <v>529</v>
      </c>
      <c r="C6" s="313">
        <f>11534594493.11</f>
        <v>11534594493.11</v>
      </c>
      <c r="D6" s="313">
        <f>11348892438.35</f>
        <v>11348892438.35</v>
      </c>
      <c r="E6" s="313">
        <f>11282698126.49</f>
        <v>11282698126.49</v>
      </c>
      <c r="F6" s="314">
        <f aca="true" t="shared" si="0" ref="F6:F27">IF($D$6=0,"",100*$D6/$D$6)</f>
        <v>100</v>
      </c>
      <c r="G6" s="314">
        <f aca="true" t="shared" si="1" ref="G6:G27">IF(C6=0,"",100*D6/C6)</f>
        <v>98.39004262463733</v>
      </c>
      <c r="H6" s="314"/>
    </row>
    <row r="7" spans="2:8" ht="25.5" customHeight="1">
      <c r="B7" s="312" t="s">
        <v>530</v>
      </c>
      <c r="C7" s="313">
        <f>C6-C12-C23</f>
        <v>7420756440.07</v>
      </c>
      <c r="D7" s="313">
        <f>D6-D12-D23</f>
        <v>7749196627.91</v>
      </c>
      <c r="E7" s="313">
        <f>E6-E12-E23</f>
        <v>7677198844.209999</v>
      </c>
      <c r="F7" s="314">
        <f t="shared" si="0"/>
        <v>68.28152324119344</v>
      </c>
      <c r="G7" s="314">
        <f t="shared" si="1"/>
        <v>104.42596641585642</v>
      </c>
      <c r="H7" s="314">
        <f>IF($D$7=0,"",100*$D7/$D$7)</f>
        <v>100</v>
      </c>
    </row>
    <row r="8" spans="2:8" ht="22.5" customHeight="1">
      <c r="B8" s="315" t="s">
        <v>531</v>
      </c>
      <c r="C8" s="316">
        <f>4507489800.27</f>
        <v>4507489800.27</v>
      </c>
      <c r="D8" s="316">
        <f>5050767530.3</f>
        <v>5050767530.3</v>
      </c>
      <c r="E8" s="316">
        <f>5029126648.52</f>
        <v>5029126648.52</v>
      </c>
      <c r="F8" s="317">
        <f t="shared" si="0"/>
        <v>44.50449731316974</v>
      </c>
      <c r="G8" s="317">
        <f t="shared" si="1"/>
        <v>112.05277780101592</v>
      </c>
      <c r="H8" s="317">
        <f>IF($D$7=0,"",100*$D8/$D$7)</f>
        <v>65.17795034531494</v>
      </c>
    </row>
    <row r="9" spans="2:8" ht="22.5" customHeight="1">
      <c r="B9" s="315" t="s">
        <v>532</v>
      </c>
      <c r="C9" s="316">
        <f>765729420</f>
        <v>765729420</v>
      </c>
      <c r="D9" s="316">
        <f>851899127</f>
        <v>851899127</v>
      </c>
      <c r="E9" s="316">
        <f>816400408</f>
        <v>816400408</v>
      </c>
      <c r="F9" s="317">
        <f t="shared" si="0"/>
        <v>7.506451679119592</v>
      </c>
      <c r="G9" s="317">
        <f t="shared" si="1"/>
        <v>111.25328409087378</v>
      </c>
      <c r="H9" s="317">
        <f>IF($D$7=0,"",100*$D9/$D$7)</f>
        <v>10.993386384489792</v>
      </c>
    </row>
    <row r="10" spans="2:8" ht="13.5" customHeight="1">
      <c r="B10" s="315" t="s">
        <v>543</v>
      </c>
      <c r="C10" s="316">
        <f>114453086.52</f>
        <v>114453086.52</v>
      </c>
      <c r="D10" s="318">
        <f>97699204.89</f>
        <v>97699204.89</v>
      </c>
      <c r="E10" s="316">
        <f>97699204.89</f>
        <v>97699204.89</v>
      </c>
      <c r="F10" s="317">
        <f t="shared" si="0"/>
        <v>0.860869952030353</v>
      </c>
      <c r="G10" s="317">
        <f t="shared" si="1"/>
        <v>85.3617913335414</v>
      </c>
      <c r="H10" s="317">
        <f>IF($D$7=0,"",100*$D10/$D$7)</f>
        <v>1.2607655939213147</v>
      </c>
    </row>
    <row r="11" spans="2:8" ht="13.5" customHeight="1">
      <c r="B11" s="315" t="s">
        <v>544</v>
      </c>
      <c r="C11" s="316">
        <f>C7-C8-C9-C10</f>
        <v>2033084133.2799993</v>
      </c>
      <c r="D11" s="316">
        <f>D7-D8-D9-D10</f>
        <v>1748830765.7199996</v>
      </c>
      <c r="E11" s="316">
        <f>E7-E8-E9-E10</f>
        <v>1733972582.7999985</v>
      </c>
      <c r="F11" s="317">
        <f t="shared" si="0"/>
        <v>15.409704296873747</v>
      </c>
      <c r="G11" s="317">
        <f t="shared" si="1"/>
        <v>86.01861266304753</v>
      </c>
      <c r="H11" s="317">
        <f>IF($D$7=0,"",100*$D11/$D$7)</f>
        <v>22.567897676273944</v>
      </c>
    </row>
    <row r="12" spans="2:8" ht="25.5" customHeight="1">
      <c r="B12" s="312" t="s">
        <v>545</v>
      </c>
      <c r="C12" s="313">
        <f>C13+C15+C17+C19+C21</f>
        <v>1997782293.04</v>
      </c>
      <c r="D12" s="313">
        <f>D13+D15+D17+D19+D21</f>
        <v>1483626263.44</v>
      </c>
      <c r="E12" s="313">
        <f>E13+E15+E17+E19+E21</f>
        <v>1485731008.2800002</v>
      </c>
      <c r="F12" s="314">
        <f t="shared" si="0"/>
        <v>13.072872718632466</v>
      </c>
      <c r="G12" s="314">
        <f t="shared" si="1"/>
        <v>74.2636606905943</v>
      </c>
      <c r="H12" s="319"/>
    </row>
    <row r="13" spans="2:8" ht="22.5" customHeight="1">
      <c r="B13" s="315" t="s">
        <v>547</v>
      </c>
      <c r="C13" s="316">
        <f>941414425</f>
        <v>941414425</v>
      </c>
      <c r="D13" s="316">
        <f>747188078.64</f>
        <v>747188078.64</v>
      </c>
      <c r="E13" s="316">
        <f>747850088.01</f>
        <v>747850088.01</v>
      </c>
      <c r="F13" s="317">
        <f t="shared" si="0"/>
        <v>6.583797341449054</v>
      </c>
      <c r="G13" s="317">
        <f t="shared" si="1"/>
        <v>79.36866684829054</v>
      </c>
      <c r="H13" s="319"/>
    </row>
    <row r="14" spans="2:8" ht="13.5" customHeight="1">
      <c r="B14" s="320" t="s">
        <v>548</v>
      </c>
      <c r="C14" s="316">
        <f>598453319</f>
        <v>598453319</v>
      </c>
      <c r="D14" s="316">
        <f>417304394.44</f>
        <v>417304394.44</v>
      </c>
      <c r="E14" s="316">
        <f>417372753.33</f>
        <v>417372753.33</v>
      </c>
      <c r="F14" s="317">
        <f t="shared" si="0"/>
        <v>3.67704951568535</v>
      </c>
      <c r="G14" s="317">
        <f t="shared" si="1"/>
        <v>69.7304837639308</v>
      </c>
      <c r="H14" s="319"/>
    </row>
    <row r="15" spans="2:8" ht="13.5" customHeight="1">
      <c r="B15" s="315" t="s">
        <v>549</v>
      </c>
      <c r="C15" s="316">
        <f>779628802.72</f>
        <v>779628802.72</v>
      </c>
      <c r="D15" s="316">
        <f>476189686.64</f>
        <v>476189686.64</v>
      </c>
      <c r="E15" s="316">
        <f>477558508.1</f>
        <v>477558508.1</v>
      </c>
      <c r="F15" s="317">
        <f t="shared" si="0"/>
        <v>4.195913294859217</v>
      </c>
      <c r="G15" s="317">
        <f t="shared" si="1"/>
        <v>61.079026964967234</v>
      </c>
      <c r="H15" s="319"/>
    </row>
    <row r="16" spans="2:8" ht="13.5" customHeight="1">
      <c r="B16" s="320" t="s">
        <v>548</v>
      </c>
      <c r="C16" s="316">
        <f>444937850.91</f>
        <v>444937850.91</v>
      </c>
      <c r="D16" s="316">
        <f>236619356.36</f>
        <v>236619356.36</v>
      </c>
      <c r="E16" s="316">
        <f>236688451.84</f>
        <v>236688451.84</v>
      </c>
      <c r="F16" s="317">
        <f t="shared" si="0"/>
        <v>2.084955493634071</v>
      </c>
      <c r="G16" s="317">
        <f t="shared" si="1"/>
        <v>53.18031627924194</v>
      </c>
      <c r="H16" s="319"/>
    </row>
    <row r="17" spans="2:8" ht="33" customHeight="1">
      <c r="B17" s="315" t="s">
        <v>550</v>
      </c>
      <c r="C17" s="316">
        <f>62186071</f>
        <v>62186071</v>
      </c>
      <c r="D17" s="316">
        <f>54303710.37</f>
        <v>54303710.37</v>
      </c>
      <c r="E17" s="316">
        <f>54377624.38</f>
        <v>54377624.38</v>
      </c>
      <c r="F17" s="317">
        <f t="shared" si="0"/>
        <v>0.4784934800024868</v>
      </c>
      <c r="G17" s="317">
        <f t="shared" si="1"/>
        <v>87.32455596044973</v>
      </c>
      <c r="H17" s="319"/>
    </row>
    <row r="18" spans="2:8" ht="13.5" customHeight="1">
      <c r="B18" s="320" t="s">
        <v>548</v>
      </c>
      <c r="C18" s="316">
        <f>47450255</f>
        <v>47450255</v>
      </c>
      <c r="D18" s="316">
        <f>39875355.3</f>
        <v>39875355.3</v>
      </c>
      <c r="E18" s="316">
        <f>39944607.4</f>
        <v>39944607.4</v>
      </c>
      <c r="F18" s="317">
        <f t="shared" si="0"/>
        <v>0.35135900279796306</v>
      </c>
      <c r="G18" s="317">
        <f t="shared" si="1"/>
        <v>84.03612435802503</v>
      </c>
      <c r="H18" s="319"/>
    </row>
    <row r="19" spans="2:8" ht="18.75" customHeight="1">
      <c r="B19" s="315" t="s">
        <v>551</v>
      </c>
      <c r="C19" s="316">
        <f>152457883</f>
        <v>152457883</v>
      </c>
      <c r="D19" s="316">
        <f>146356105.14</f>
        <v>146356105.14</v>
      </c>
      <c r="E19" s="316">
        <f>146356105.14</f>
        <v>146356105.14</v>
      </c>
      <c r="F19" s="317">
        <f t="shared" si="0"/>
        <v>1.2896069456560864</v>
      </c>
      <c r="G19" s="317">
        <f t="shared" si="1"/>
        <v>95.997728854729</v>
      </c>
      <c r="H19" s="319"/>
    </row>
    <row r="20" spans="2:8" ht="13.5" customHeight="1">
      <c r="B20" s="320" t="s">
        <v>548</v>
      </c>
      <c r="C20" s="316">
        <f>133567945</f>
        <v>133567945</v>
      </c>
      <c r="D20" s="316">
        <f>127436251.75</f>
        <v>127436251.75</v>
      </c>
      <c r="E20" s="316">
        <f>127436251.75</f>
        <v>127436251.75</v>
      </c>
      <c r="F20" s="317">
        <f t="shared" si="0"/>
        <v>1.1228959340505282</v>
      </c>
      <c r="G20" s="317">
        <f t="shared" si="1"/>
        <v>95.40930778713411</v>
      </c>
      <c r="H20" s="319"/>
    </row>
    <row r="21" spans="2:8" ht="15.75" customHeight="1">
      <c r="B21" s="315" t="s">
        <v>552</v>
      </c>
      <c r="C21" s="316">
        <f>62095111.32</f>
        <v>62095111.32</v>
      </c>
      <c r="D21" s="316">
        <f>59588682.65</f>
        <v>59588682.65</v>
      </c>
      <c r="E21" s="316">
        <f>59588682.65</f>
        <v>59588682.65</v>
      </c>
      <c r="F21" s="317">
        <f t="shared" si="0"/>
        <v>0.5250616566656219</v>
      </c>
      <c r="G21" s="317">
        <f t="shared" si="1"/>
        <v>95.96356522000032</v>
      </c>
      <c r="H21" s="319"/>
    </row>
    <row r="22" spans="2:8" ht="13.5" customHeight="1">
      <c r="B22" s="320" t="s">
        <v>548</v>
      </c>
      <c r="C22" s="316">
        <f>46136322.72</f>
        <v>46136322.72</v>
      </c>
      <c r="D22" s="316">
        <f>44548730.95</f>
        <v>44548730.95</v>
      </c>
      <c r="E22" s="316">
        <f>44548730.95</f>
        <v>44548730.95</v>
      </c>
      <c r="F22" s="317">
        <f t="shared" si="0"/>
        <v>0.392538137020857</v>
      </c>
      <c r="G22" s="317">
        <f t="shared" si="1"/>
        <v>96.55891133839373</v>
      </c>
      <c r="H22" s="319"/>
    </row>
    <row r="23" spans="2:8" ht="25.5" customHeight="1">
      <c r="B23" s="312" t="s">
        <v>553</v>
      </c>
      <c r="C23" s="313">
        <f>C26+C24+C25+C27</f>
        <v>2116055760</v>
      </c>
      <c r="D23" s="313">
        <f>D26+D24+D25+D27</f>
        <v>2116069547</v>
      </c>
      <c r="E23" s="313">
        <f>E26+E24+E25+E27</f>
        <v>2119768274</v>
      </c>
      <c r="F23" s="314">
        <f t="shared" si="0"/>
        <v>18.645604040174096</v>
      </c>
      <c r="G23" s="314">
        <f t="shared" si="1"/>
        <v>100.00065154237713</v>
      </c>
      <c r="H23" s="319"/>
    </row>
    <row r="24" spans="2:8" ht="13.5" customHeight="1">
      <c r="B24" s="315" t="s">
        <v>555</v>
      </c>
      <c r="C24" s="316">
        <f>595666270</f>
        <v>595666270</v>
      </c>
      <c r="D24" s="316">
        <f>595680057</f>
        <v>595680057</v>
      </c>
      <c r="E24" s="316">
        <f>599378784</f>
        <v>599378784</v>
      </c>
      <c r="F24" s="317">
        <f t="shared" si="0"/>
        <v>5.248794631157903</v>
      </c>
      <c r="G24" s="317">
        <f t="shared" si="1"/>
        <v>100.00231455106565</v>
      </c>
      <c r="H24" s="319"/>
    </row>
    <row r="25" spans="2:8" ht="13.5" customHeight="1">
      <c r="B25" s="315" t="s">
        <v>558</v>
      </c>
      <c r="C25" s="316">
        <f>642325002</f>
        <v>642325002</v>
      </c>
      <c r="D25" s="316">
        <f>642325002</f>
        <v>642325002</v>
      </c>
      <c r="E25" s="316">
        <f>642325002</f>
        <v>642325002</v>
      </c>
      <c r="F25" s="317">
        <f t="shared" si="0"/>
        <v>5.6598034168467874</v>
      </c>
      <c r="G25" s="317">
        <f t="shared" si="1"/>
        <v>100</v>
      </c>
      <c r="H25" s="319"/>
    </row>
    <row r="26" spans="2:8" ht="13.5" customHeight="1">
      <c r="B26" s="315" t="s">
        <v>554</v>
      </c>
      <c r="C26" s="316">
        <f>849564488</f>
        <v>849564488</v>
      </c>
      <c r="D26" s="316">
        <f>849564488</f>
        <v>849564488</v>
      </c>
      <c r="E26" s="316">
        <f>849564488</f>
        <v>849564488</v>
      </c>
      <c r="F26" s="317">
        <f t="shared" si="0"/>
        <v>7.485880165091396</v>
      </c>
      <c r="G26" s="317">
        <f t="shared" si="1"/>
        <v>100</v>
      </c>
      <c r="H26" s="319"/>
    </row>
    <row r="27" spans="2:8" ht="22.5">
      <c r="B27" s="315" t="s">
        <v>559</v>
      </c>
      <c r="C27" s="316">
        <f>28500000</f>
        <v>28500000</v>
      </c>
      <c r="D27" s="316">
        <f>28500000</f>
        <v>28500000</v>
      </c>
      <c r="E27" s="316">
        <f>28500000</f>
        <v>28500000</v>
      </c>
      <c r="F27" s="317">
        <f t="shared" si="0"/>
        <v>0.25112582707800846</v>
      </c>
      <c r="G27" s="317">
        <f t="shared" si="1"/>
        <v>100</v>
      </c>
      <c r="H27" s="319"/>
    </row>
    <row r="28" spans="1:13" ht="13.5" customHeight="1">
      <c r="A28" s="323"/>
      <c r="B28" s="324"/>
      <c r="C28" s="354"/>
      <c r="D28" s="355"/>
      <c r="E28" s="355"/>
      <c r="F28" s="327"/>
      <c r="G28" s="327"/>
      <c r="H28" s="327"/>
      <c r="I28" s="327"/>
      <c r="J28" s="327"/>
      <c r="K28" s="328"/>
      <c r="L28" s="328"/>
      <c r="M28" s="329"/>
    </row>
    <row r="29" spans="2:27" ht="24.75" customHeight="1">
      <c r="B29" s="419" t="s">
        <v>525</v>
      </c>
      <c r="C29" s="406" t="s">
        <v>618</v>
      </c>
      <c r="D29" s="406" t="s">
        <v>619</v>
      </c>
      <c r="E29" s="406" t="s">
        <v>620</v>
      </c>
      <c r="F29" s="406" t="s">
        <v>560</v>
      </c>
      <c r="G29" s="406"/>
      <c r="H29" s="406"/>
      <c r="I29" s="406" t="s">
        <v>621</v>
      </c>
      <c r="J29" s="406"/>
      <c r="K29" s="406" t="s">
        <v>526</v>
      </c>
      <c r="L29" s="416" t="s">
        <v>561</v>
      </c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</row>
    <row r="30" spans="2:27" ht="18" customHeight="1">
      <c r="B30" s="419"/>
      <c r="C30" s="406"/>
      <c r="D30" s="412"/>
      <c r="E30" s="406"/>
      <c r="F30" s="417" t="s">
        <v>622</v>
      </c>
      <c r="G30" s="418" t="s">
        <v>562</v>
      </c>
      <c r="H30" s="412"/>
      <c r="I30" s="406"/>
      <c r="J30" s="406"/>
      <c r="K30" s="406"/>
      <c r="L30" s="416"/>
      <c r="M30" s="331"/>
      <c r="N30" s="332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</row>
    <row r="31" spans="2:27" ht="36" customHeight="1">
      <c r="B31" s="419"/>
      <c r="C31" s="406"/>
      <c r="D31" s="412"/>
      <c r="E31" s="406"/>
      <c r="F31" s="412"/>
      <c r="G31" s="309" t="s">
        <v>623</v>
      </c>
      <c r="H31" s="309" t="s">
        <v>624</v>
      </c>
      <c r="I31" s="406"/>
      <c r="J31" s="406"/>
      <c r="K31" s="406"/>
      <c r="L31" s="416"/>
      <c r="M31" s="331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</row>
    <row r="32" spans="2:27" ht="13.5" customHeight="1">
      <c r="B32" s="419"/>
      <c r="C32" s="415"/>
      <c r="D32" s="415"/>
      <c r="E32" s="415"/>
      <c r="F32" s="415"/>
      <c r="G32" s="415"/>
      <c r="H32" s="415"/>
      <c r="I32" s="415"/>
      <c r="J32" s="415"/>
      <c r="K32" s="415" t="s">
        <v>12</v>
      </c>
      <c r="L32" s="415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</row>
    <row r="33" spans="2:27" ht="11.25" customHeight="1">
      <c r="B33" s="308">
        <v>1</v>
      </c>
      <c r="C33" s="310">
        <v>2</v>
      </c>
      <c r="D33" s="310">
        <v>3</v>
      </c>
      <c r="E33" s="310">
        <v>4</v>
      </c>
      <c r="F33" s="308">
        <v>5</v>
      </c>
      <c r="G33" s="308">
        <v>6</v>
      </c>
      <c r="H33" s="310">
        <v>7</v>
      </c>
      <c r="I33" s="412">
        <v>8</v>
      </c>
      <c r="J33" s="412"/>
      <c r="K33" s="308">
        <v>9</v>
      </c>
      <c r="L33" s="310">
        <v>10</v>
      </c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</row>
    <row r="34" spans="2:12" ht="25.5" customHeight="1">
      <c r="B34" s="312" t="s">
        <v>563</v>
      </c>
      <c r="C34" s="306">
        <f>12507799348.2</f>
        <v>12507799348.2</v>
      </c>
      <c r="D34" s="306">
        <f>11109428593.53</f>
        <v>11109428593.53</v>
      </c>
      <c r="E34" s="306">
        <f>11092205633</f>
        <v>11092205633</v>
      </c>
      <c r="F34" s="306">
        <f>130214982.82</f>
        <v>130214982.82</v>
      </c>
      <c r="G34" s="306">
        <f>295227.79</f>
        <v>295227.79</v>
      </c>
      <c r="H34" s="306">
        <f>88625.29</f>
        <v>88625.29</v>
      </c>
      <c r="I34" s="408">
        <f>577217372.26</f>
        <v>577217372.26</v>
      </c>
      <c r="J34" s="408"/>
      <c r="K34" s="333">
        <f aca="true" t="shared" si="2" ref="K34:K44">IF($E$34=0,"",100*$E34/$E$34)</f>
        <v>100</v>
      </c>
      <c r="L34" s="333">
        <f aca="true" t="shared" si="3" ref="L34:L44">IF(C34=0,"",100*E34/C34)</f>
        <v>88.68231192560889</v>
      </c>
    </row>
    <row r="35" spans="2:12" ht="24" customHeight="1">
      <c r="B35" s="312" t="s">
        <v>564</v>
      </c>
      <c r="C35" s="307">
        <f>4888770297.64</f>
        <v>4888770297.64</v>
      </c>
      <c r="D35" s="307">
        <f>4080418813.35</f>
        <v>4080418813.35</v>
      </c>
      <c r="E35" s="307">
        <f>4066662218.58</f>
        <v>4066662218.58</v>
      </c>
      <c r="F35" s="307">
        <f>20684747.48</f>
        <v>20684747.48</v>
      </c>
      <c r="G35" s="307">
        <f>0</f>
        <v>0</v>
      </c>
      <c r="H35" s="307">
        <f>0</f>
        <v>0</v>
      </c>
      <c r="I35" s="410">
        <f>517165709.54</f>
        <v>517165709.54</v>
      </c>
      <c r="J35" s="410"/>
      <c r="K35" s="333">
        <f t="shared" si="2"/>
        <v>36.66234068435792</v>
      </c>
      <c r="L35" s="333">
        <f t="shared" si="3"/>
        <v>83.18374501136076</v>
      </c>
    </row>
    <row r="36" spans="2:12" ht="15.75" customHeight="1">
      <c r="B36" s="315" t="s">
        <v>565</v>
      </c>
      <c r="C36" s="316">
        <f>4751717947.64</f>
        <v>4751717947.64</v>
      </c>
      <c r="D36" s="316">
        <f>3945745680.79</f>
        <v>3945745680.79</v>
      </c>
      <c r="E36" s="316">
        <f>3931989086.02</f>
        <v>3931989086.02</v>
      </c>
      <c r="F36" s="316">
        <f>20684747.48</f>
        <v>20684747.48</v>
      </c>
      <c r="G36" s="316">
        <f>0</f>
        <v>0</v>
      </c>
      <c r="H36" s="316">
        <f>0</f>
        <v>0</v>
      </c>
      <c r="I36" s="409">
        <f>481706484.54</f>
        <v>481706484.54</v>
      </c>
      <c r="J36" s="409"/>
      <c r="K36" s="322">
        <f t="shared" si="2"/>
        <v>35.44821666776613</v>
      </c>
      <c r="L36" s="322">
        <f t="shared" si="3"/>
        <v>82.74878958194206</v>
      </c>
    </row>
    <row r="37" spans="2:12" ht="25.5" customHeight="1">
      <c r="B37" s="312" t="s">
        <v>566</v>
      </c>
      <c r="C37" s="307">
        <f aca="true" t="shared" si="4" ref="C37:I37">C34-C35</f>
        <v>7619029050.56</v>
      </c>
      <c r="D37" s="307">
        <f t="shared" si="4"/>
        <v>7029009780.18</v>
      </c>
      <c r="E37" s="307">
        <f t="shared" si="4"/>
        <v>7025543414.42</v>
      </c>
      <c r="F37" s="307">
        <f t="shared" si="4"/>
        <v>109530235.33999999</v>
      </c>
      <c r="G37" s="307">
        <f t="shared" si="4"/>
        <v>295227.79</v>
      </c>
      <c r="H37" s="307">
        <f t="shared" si="4"/>
        <v>88625.29</v>
      </c>
      <c r="I37" s="410">
        <f t="shared" si="4"/>
        <v>60051662.71999997</v>
      </c>
      <c r="J37" s="410"/>
      <c r="K37" s="333">
        <f t="shared" si="2"/>
        <v>63.33765931564208</v>
      </c>
      <c r="L37" s="333">
        <f t="shared" si="3"/>
        <v>92.21048204171923</v>
      </c>
    </row>
    <row r="38" spans="2:12" ht="13.5" customHeight="1">
      <c r="B38" s="315" t="s">
        <v>567</v>
      </c>
      <c r="C38" s="316">
        <f>1176399073.84</f>
        <v>1176399073.84</v>
      </c>
      <c r="D38" s="316">
        <f>1126771096.31</f>
        <v>1126771096.31</v>
      </c>
      <c r="E38" s="316">
        <f>1125692868.22</f>
        <v>1125692868.22</v>
      </c>
      <c r="F38" s="316">
        <f>80188712.31</f>
        <v>80188712.31</v>
      </c>
      <c r="G38" s="316">
        <f>2656.81</f>
        <v>2656.81</v>
      </c>
      <c r="H38" s="316">
        <f>887.47</f>
        <v>887.47</v>
      </c>
      <c r="I38" s="409">
        <f>349576.65</f>
        <v>349576.65</v>
      </c>
      <c r="J38" s="409"/>
      <c r="K38" s="322">
        <f t="shared" si="2"/>
        <v>10.148503421817153</v>
      </c>
      <c r="L38" s="322">
        <f t="shared" si="3"/>
        <v>95.68971051171566</v>
      </c>
    </row>
    <row r="39" spans="2:12" ht="22.5" customHeight="1">
      <c r="B39" s="320" t="s">
        <v>568</v>
      </c>
      <c r="C39" s="334">
        <f>1079165198.12</f>
        <v>1079165198.12</v>
      </c>
      <c r="D39" s="334">
        <f>1035944426.63</f>
        <v>1035944426.63</v>
      </c>
      <c r="E39" s="334">
        <f>1035190439.31</f>
        <v>1035190439.31</v>
      </c>
      <c r="F39" s="334">
        <f>3744646.18</f>
        <v>3744646.18</v>
      </c>
      <c r="G39" s="334">
        <f>0</f>
        <v>0</v>
      </c>
      <c r="H39" s="334">
        <f>260.47</f>
        <v>260.47</v>
      </c>
      <c r="I39" s="414">
        <f>94645.65</f>
        <v>94645.65</v>
      </c>
      <c r="J39" s="414"/>
      <c r="K39" s="322">
        <f t="shared" si="2"/>
        <v>9.33259329623537</v>
      </c>
      <c r="L39" s="322">
        <f t="shared" si="3"/>
        <v>95.92511332958033</v>
      </c>
    </row>
    <row r="40" spans="2:12" ht="13.5" customHeight="1">
      <c r="B40" s="315" t="s">
        <v>569</v>
      </c>
      <c r="C40" s="316">
        <f>221381707.28</f>
        <v>221381707.28</v>
      </c>
      <c r="D40" s="316">
        <f>208675187.83</f>
        <v>208675187.83</v>
      </c>
      <c r="E40" s="316">
        <f>208178093</f>
        <v>208178093</v>
      </c>
      <c r="F40" s="316">
        <f>15119788.14</f>
        <v>15119788.14</v>
      </c>
      <c r="G40" s="316">
        <f>0</f>
        <v>0</v>
      </c>
      <c r="H40" s="316">
        <f>0</f>
        <v>0</v>
      </c>
      <c r="I40" s="409">
        <f>29661.65</f>
        <v>29661.65</v>
      </c>
      <c r="J40" s="409"/>
      <c r="K40" s="322">
        <f t="shared" si="2"/>
        <v>1.8767961926405083</v>
      </c>
      <c r="L40" s="322">
        <f t="shared" si="3"/>
        <v>94.03581513476166</v>
      </c>
    </row>
    <row r="41" spans="2:12" ht="13.5" customHeight="1">
      <c r="B41" s="315" t="s">
        <v>570</v>
      </c>
      <c r="C41" s="334">
        <f>3356410125.63</f>
        <v>3356410125.63</v>
      </c>
      <c r="D41" s="334">
        <f>3121058544.99</f>
        <v>3121058544.99</v>
      </c>
      <c r="E41" s="334">
        <f>3120552216.91</f>
        <v>3120552216.91</v>
      </c>
      <c r="F41" s="334">
        <f>183812.91</f>
        <v>183812.91</v>
      </c>
      <c r="G41" s="334">
        <f>171129</f>
        <v>171129</v>
      </c>
      <c r="H41" s="334">
        <f>0</f>
        <v>0</v>
      </c>
      <c r="I41" s="414">
        <f>14048496.38</f>
        <v>14048496.38</v>
      </c>
      <c r="J41" s="414"/>
      <c r="K41" s="322">
        <f t="shared" si="2"/>
        <v>28.132837779586087</v>
      </c>
      <c r="L41" s="322">
        <f t="shared" si="3"/>
        <v>92.97291153667553</v>
      </c>
    </row>
    <row r="42" spans="2:12" ht="13.5" customHeight="1">
      <c r="B42" s="315" t="s">
        <v>571</v>
      </c>
      <c r="C42" s="316">
        <f>58748709</f>
        <v>58748709</v>
      </c>
      <c r="D42" s="316">
        <f>43327298.42</f>
        <v>43327298.42</v>
      </c>
      <c r="E42" s="316">
        <f>43315358.25</f>
        <v>43315358.25</v>
      </c>
      <c r="F42" s="316">
        <f>4492563.22</f>
        <v>4492563.22</v>
      </c>
      <c r="G42" s="316">
        <f>0</f>
        <v>0</v>
      </c>
      <c r="H42" s="316">
        <f>0</f>
        <v>0</v>
      </c>
      <c r="I42" s="409">
        <f>0</f>
        <v>0</v>
      </c>
      <c r="J42" s="409"/>
      <c r="K42" s="322">
        <f t="shared" si="2"/>
        <v>0.3905026618072615</v>
      </c>
      <c r="L42" s="322">
        <f t="shared" si="3"/>
        <v>73.72988953680667</v>
      </c>
    </row>
    <row r="43" spans="2:12" ht="22.5" customHeight="1">
      <c r="B43" s="315" t="s">
        <v>572</v>
      </c>
      <c r="C43" s="334">
        <f>62702976</f>
        <v>62702976</v>
      </c>
      <c r="D43" s="334">
        <f>6432476.38</f>
        <v>6432476.38</v>
      </c>
      <c r="E43" s="334">
        <f>6432476.38</f>
        <v>6432476.38</v>
      </c>
      <c r="F43" s="334">
        <f>0</f>
        <v>0</v>
      </c>
      <c r="G43" s="334">
        <f>0</f>
        <v>0</v>
      </c>
      <c r="H43" s="334">
        <f>0</f>
        <v>0</v>
      </c>
      <c r="I43" s="414">
        <f>0</f>
        <v>0</v>
      </c>
      <c r="J43" s="414"/>
      <c r="K43" s="322">
        <f t="shared" si="2"/>
        <v>0.057990958631915224</v>
      </c>
      <c r="L43" s="322">
        <f t="shared" si="3"/>
        <v>10.25864606490129</v>
      </c>
    </row>
    <row r="44" spans="2:12" ht="13.5" customHeight="1">
      <c r="B44" s="315" t="s">
        <v>573</v>
      </c>
      <c r="C44" s="316">
        <f aca="true" t="shared" si="5" ref="C44:I44">C37-C38-C40-C41-C42-C43</f>
        <v>2743386458.8100004</v>
      </c>
      <c r="D44" s="316">
        <f t="shared" si="5"/>
        <v>2522745176.250001</v>
      </c>
      <c r="E44" s="316">
        <f t="shared" si="5"/>
        <v>2521372401.66</v>
      </c>
      <c r="F44" s="316">
        <f t="shared" si="5"/>
        <v>9545358.759999987</v>
      </c>
      <c r="G44" s="316">
        <f t="shared" si="5"/>
        <v>121441.97999999998</v>
      </c>
      <c r="H44" s="316">
        <f t="shared" si="5"/>
        <v>87737.81999999999</v>
      </c>
      <c r="I44" s="409">
        <f t="shared" si="5"/>
        <v>45623928.03999997</v>
      </c>
      <c r="J44" s="409">
        <f>J37-J38-J40-J41-J42</f>
        <v>0</v>
      </c>
      <c r="K44" s="322">
        <f t="shared" si="2"/>
        <v>22.731028301159157</v>
      </c>
      <c r="L44" s="322">
        <f t="shared" si="3"/>
        <v>91.90729922730961</v>
      </c>
    </row>
    <row r="45" spans="2:13" ht="24" customHeight="1">
      <c r="B45" s="312" t="s">
        <v>574</v>
      </c>
      <c r="C45" s="307">
        <f>C6-C34</f>
        <v>-973204855.0900002</v>
      </c>
      <c r="D45" s="307"/>
      <c r="E45" s="307">
        <f>D6-E34</f>
        <v>256686805.35000038</v>
      </c>
      <c r="F45" s="307"/>
      <c r="G45" s="307"/>
      <c r="H45" s="307"/>
      <c r="I45" s="410"/>
      <c r="J45" s="410"/>
      <c r="K45" s="335"/>
      <c r="L45" s="335"/>
      <c r="M45" s="336"/>
    </row>
    <row r="46" spans="2:13" ht="12" customHeight="1">
      <c r="B46" s="358"/>
      <c r="C46" s="359"/>
      <c r="D46" s="359"/>
      <c r="E46" s="359"/>
      <c r="F46" s="329"/>
      <c r="G46" s="329"/>
      <c r="H46" s="329"/>
      <c r="I46" s="329"/>
      <c r="L46" s="330"/>
      <c r="M46" s="330"/>
    </row>
    <row r="47" spans="2:13" ht="3.75" customHeight="1">
      <c r="B47" s="358"/>
      <c r="C47" s="359"/>
      <c r="D47" s="359"/>
      <c r="E47" s="359"/>
      <c r="F47" s="329"/>
      <c r="G47" s="329"/>
      <c r="H47" s="329"/>
      <c r="I47" s="329"/>
      <c r="L47" s="330"/>
      <c r="M47" s="330"/>
    </row>
    <row r="48" spans="2:9" ht="18" customHeight="1">
      <c r="B48" s="411" t="s">
        <v>463</v>
      </c>
      <c r="C48" s="411"/>
      <c r="D48" s="412" t="s">
        <v>575</v>
      </c>
      <c r="E48" s="412"/>
      <c r="F48" s="412" t="s">
        <v>576</v>
      </c>
      <c r="G48" s="412"/>
      <c r="H48" s="310" t="s">
        <v>577</v>
      </c>
      <c r="I48" s="310" t="s">
        <v>578</v>
      </c>
    </row>
    <row r="49" spans="2:10" ht="13.5" customHeight="1">
      <c r="B49" s="411"/>
      <c r="C49" s="411"/>
      <c r="D49" s="406"/>
      <c r="E49" s="406"/>
      <c r="F49" s="406"/>
      <c r="G49" s="406"/>
      <c r="H49" s="413" t="s">
        <v>12</v>
      </c>
      <c r="I49" s="413"/>
      <c r="J49" s="339"/>
    </row>
    <row r="50" spans="2:10" ht="11.25" customHeight="1">
      <c r="B50" s="405">
        <v>1</v>
      </c>
      <c r="C50" s="406"/>
      <c r="D50" s="407">
        <v>2</v>
      </c>
      <c r="E50" s="407"/>
      <c r="F50" s="407">
        <v>3</v>
      </c>
      <c r="G50" s="407"/>
      <c r="H50" s="340">
        <v>4</v>
      </c>
      <c r="I50" s="340">
        <v>5</v>
      </c>
      <c r="J50" s="330"/>
    </row>
    <row r="51" spans="2:10" ht="25.5" customHeight="1">
      <c r="B51" s="402" t="s">
        <v>579</v>
      </c>
      <c r="C51" s="402"/>
      <c r="D51" s="408">
        <f>1100565400.09</f>
        <v>1100565400.09</v>
      </c>
      <c r="E51" s="408"/>
      <c r="F51" s="408">
        <f>1244701334.6</f>
        <v>1244701334.6</v>
      </c>
      <c r="G51" s="408"/>
      <c r="H51" s="333"/>
      <c r="I51" s="333"/>
      <c r="J51" s="341"/>
    </row>
    <row r="52" spans="2:9" ht="25.5" customHeight="1">
      <c r="B52" s="401" t="s">
        <v>580</v>
      </c>
      <c r="C52" s="402"/>
      <c r="D52" s="408">
        <f>2591285965.77</f>
        <v>2591285965.77</v>
      </c>
      <c r="E52" s="408"/>
      <c r="F52" s="408">
        <f>2565117775.4</f>
        <v>2565117775.4</v>
      </c>
      <c r="G52" s="408"/>
      <c r="H52" s="295">
        <f aca="true" t="shared" si="6" ref="H52:H64">IF($F$52=0,"",100*$F52/$F$52)</f>
        <v>100</v>
      </c>
      <c r="I52" s="333">
        <f aca="true" t="shared" si="7" ref="I52:I73">IF(D52=0,"",100*F52/D52)</f>
        <v>98.99014656368796</v>
      </c>
    </row>
    <row r="53" spans="2:9" ht="13.5" customHeight="1">
      <c r="B53" s="398" t="s">
        <v>581</v>
      </c>
      <c r="C53" s="398"/>
      <c r="D53" s="397">
        <f>1671430305.7</f>
        <v>1671430305.7</v>
      </c>
      <c r="E53" s="397"/>
      <c r="F53" s="397">
        <f>1437457895.74</f>
        <v>1437457895.74</v>
      </c>
      <c r="G53" s="397"/>
      <c r="H53" s="322">
        <f t="shared" si="6"/>
        <v>56.038670408256216</v>
      </c>
      <c r="I53" s="322">
        <f t="shared" si="7"/>
        <v>86.00166521080209</v>
      </c>
    </row>
    <row r="54" spans="2:9" ht="35.25" customHeight="1">
      <c r="B54" s="396" t="s">
        <v>683</v>
      </c>
      <c r="C54" s="396" t="s">
        <v>583</v>
      </c>
      <c r="D54" s="397">
        <f>1151238469.69</f>
        <v>1151238469.69</v>
      </c>
      <c r="E54" s="397"/>
      <c r="F54" s="397">
        <f>972184915.64</f>
        <v>972184915.64</v>
      </c>
      <c r="G54" s="397"/>
      <c r="H54" s="322">
        <f t="shared" si="6"/>
        <v>37.900205790293555</v>
      </c>
      <c r="I54" s="322">
        <f t="shared" si="7"/>
        <v>84.44687536386664</v>
      </c>
    </row>
    <row r="55" spans="2:9" ht="13.5" customHeight="1">
      <c r="B55" s="398" t="s">
        <v>584</v>
      </c>
      <c r="C55" s="398" t="s">
        <v>585</v>
      </c>
      <c r="D55" s="397">
        <f>21255395</f>
        <v>21255395</v>
      </c>
      <c r="E55" s="397"/>
      <c r="F55" s="397">
        <f>30483699.2</f>
        <v>30483699.2</v>
      </c>
      <c r="G55" s="397"/>
      <c r="H55" s="322">
        <f t="shared" si="6"/>
        <v>1.1883937452051856</v>
      </c>
      <c r="I55" s="322">
        <f t="shared" si="7"/>
        <v>143.41629125217386</v>
      </c>
    </row>
    <row r="56" spans="2:9" ht="13.5" customHeight="1">
      <c r="B56" s="398" t="s">
        <v>586</v>
      </c>
      <c r="C56" s="398" t="s">
        <v>587</v>
      </c>
      <c r="D56" s="397">
        <f>411631923</f>
        <v>411631923</v>
      </c>
      <c r="E56" s="397"/>
      <c r="F56" s="397">
        <f>543631572.54</f>
        <v>543631572.54</v>
      </c>
      <c r="G56" s="397"/>
      <c r="H56" s="322">
        <f t="shared" si="6"/>
        <v>21.19324023846145</v>
      </c>
      <c r="I56" s="322">
        <f t="shared" si="7"/>
        <v>132.06739860649728</v>
      </c>
    </row>
    <row r="57" spans="2:9" ht="13.5" customHeight="1">
      <c r="B57" s="396" t="s">
        <v>588</v>
      </c>
      <c r="C57" s="396" t="s">
        <v>589</v>
      </c>
      <c r="D57" s="397">
        <f>382873725</f>
        <v>382873725</v>
      </c>
      <c r="E57" s="397"/>
      <c r="F57" s="397">
        <f>0</f>
        <v>0</v>
      </c>
      <c r="G57" s="397"/>
      <c r="H57" s="322">
        <f t="shared" si="6"/>
        <v>0</v>
      </c>
      <c r="I57" s="322">
        <f t="shared" si="7"/>
        <v>0</v>
      </c>
    </row>
    <row r="58" spans="2:9" ht="13.5" customHeight="1">
      <c r="B58" s="398" t="s">
        <v>590</v>
      </c>
      <c r="C58" s="398" t="s">
        <v>591</v>
      </c>
      <c r="D58" s="397">
        <f>106000000</f>
        <v>106000000</v>
      </c>
      <c r="E58" s="397"/>
      <c r="F58" s="397">
        <f>106000000</f>
        <v>106000000</v>
      </c>
      <c r="G58" s="397"/>
      <c r="H58" s="322">
        <f t="shared" si="6"/>
        <v>4.132363863233162</v>
      </c>
      <c r="I58" s="322">
        <f t="shared" si="7"/>
        <v>100</v>
      </c>
    </row>
    <row r="59" spans="2:9" ht="36" customHeight="1">
      <c r="B59" s="396" t="s">
        <v>683</v>
      </c>
      <c r="C59" s="396" t="s">
        <v>583</v>
      </c>
      <c r="D59" s="397">
        <f>0</f>
        <v>0</v>
      </c>
      <c r="E59" s="397"/>
      <c r="F59" s="397">
        <f>0</f>
        <v>0</v>
      </c>
      <c r="G59" s="397"/>
      <c r="H59" s="322">
        <f t="shared" si="6"/>
        <v>0</v>
      </c>
      <c r="I59" s="322">
        <f t="shared" si="7"/>
      </c>
    </row>
    <row r="60" spans="2:9" ht="22.5" customHeight="1">
      <c r="B60" s="398" t="s">
        <v>592</v>
      </c>
      <c r="C60" s="398" t="s">
        <v>593</v>
      </c>
      <c r="D60" s="397">
        <f>55473241</f>
        <v>55473241</v>
      </c>
      <c r="E60" s="397"/>
      <c r="F60" s="397">
        <f>46400000</f>
        <v>46400000</v>
      </c>
      <c r="G60" s="397"/>
      <c r="H60" s="322">
        <f t="shared" si="6"/>
        <v>1.8088838042831956</v>
      </c>
      <c r="I60" s="322">
        <f t="shared" si="7"/>
        <v>83.64393203562777</v>
      </c>
    </row>
    <row r="61" spans="2:9" ht="33.75" customHeight="1">
      <c r="B61" s="396" t="s">
        <v>683</v>
      </c>
      <c r="C61" s="396" t="s">
        <v>583</v>
      </c>
      <c r="D61" s="397">
        <f>0</f>
        <v>0</v>
      </c>
      <c r="E61" s="397"/>
      <c r="F61" s="397">
        <f>0</f>
        <v>0</v>
      </c>
      <c r="G61" s="397"/>
      <c r="H61" s="322">
        <f t="shared" si="6"/>
        <v>0</v>
      </c>
      <c r="I61" s="322">
        <f t="shared" si="7"/>
      </c>
    </row>
    <row r="62" spans="2:9" ht="13.5" customHeight="1">
      <c r="B62" s="398" t="s">
        <v>594</v>
      </c>
      <c r="C62" s="398" t="s">
        <v>595</v>
      </c>
      <c r="D62" s="397">
        <f>0</f>
        <v>0</v>
      </c>
      <c r="E62" s="397"/>
      <c r="F62" s="397">
        <f>0</f>
        <v>0</v>
      </c>
      <c r="G62" s="397"/>
      <c r="H62" s="322">
        <f t="shared" si="6"/>
        <v>0</v>
      </c>
      <c r="I62" s="322">
        <f t="shared" si="7"/>
      </c>
    </row>
    <row r="63" spans="2:9" ht="13.5" customHeight="1">
      <c r="B63" s="398" t="s">
        <v>596</v>
      </c>
      <c r="C63" s="398" t="s">
        <v>597</v>
      </c>
      <c r="D63" s="397">
        <f>325495101.07</f>
        <v>325495101.07</v>
      </c>
      <c r="E63" s="397"/>
      <c r="F63" s="397">
        <f>401144607.92</f>
        <v>401144607.92</v>
      </c>
      <c r="G63" s="397"/>
      <c r="H63" s="322">
        <f t="shared" si="6"/>
        <v>15.638447940560788</v>
      </c>
      <c r="I63" s="322">
        <f t="shared" si="7"/>
        <v>123.24136572296092</v>
      </c>
    </row>
    <row r="64" spans="2:9" ht="13.5" customHeight="1">
      <c r="B64" s="396" t="s">
        <v>588</v>
      </c>
      <c r="C64" s="396" t="s">
        <v>589</v>
      </c>
      <c r="D64" s="397">
        <f>206929847.07</f>
        <v>206929847.07</v>
      </c>
      <c r="E64" s="397"/>
      <c r="F64" s="397">
        <f>10996342</f>
        <v>10996342</v>
      </c>
      <c r="G64" s="397"/>
      <c r="H64" s="322">
        <f t="shared" si="6"/>
        <v>0.42868760668446304</v>
      </c>
      <c r="I64" s="322">
        <f t="shared" si="7"/>
        <v>5.314043457578244</v>
      </c>
    </row>
    <row r="65" spans="2:9" ht="25.5" customHeight="1">
      <c r="B65" s="401" t="s">
        <v>598</v>
      </c>
      <c r="C65" s="402" t="s">
        <v>599</v>
      </c>
      <c r="D65" s="408">
        <f>1490720565.68</f>
        <v>1490720565.68</v>
      </c>
      <c r="E65" s="408"/>
      <c r="F65" s="408">
        <f>1320416440.8</f>
        <v>1320416440.8</v>
      </c>
      <c r="G65" s="408"/>
      <c r="H65" s="295">
        <f aca="true" t="shared" si="8" ref="H65:H73">IF($F$65=0,"",100*$F65/$F$65)</f>
        <v>100</v>
      </c>
      <c r="I65" s="333">
        <f t="shared" si="7"/>
        <v>88.57571775684768</v>
      </c>
    </row>
    <row r="66" spans="2:9" ht="13.5" customHeight="1">
      <c r="B66" s="398" t="s">
        <v>600</v>
      </c>
      <c r="C66" s="398" t="s">
        <v>601</v>
      </c>
      <c r="D66" s="397">
        <f>1331238068.68</f>
        <v>1331238068.68</v>
      </c>
      <c r="E66" s="397"/>
      <c r="F66" s="397">
        <f>1131560700.37</f>
        <v>1131560700.37</v>
      </c>
      <c r="G66" s="397"/>
      <c r="H66" s="322">
        <f t="shared" si="8"/>
        <v>85.69725924378993</v>
      </c>
      <c r="I66" s="322">
        <f t="shared" si="7"/>
        <v>85.00062663412324</v>
      </c>
    </row>
    <row r="67" spans="2:9" ht="35.25" customHeight="1">
      <c r="B67" s="396" t="s">
        <v>666</v>
      </c>
      <c r="C67" s="396" t="s">
        <v>583</v>
      </c>
      <c r="D67" s="397">
        <f>1218830226.96</f>
        <v>1218830226.96</v>
      </c>
      <c r="E67" s="397"/>
      <c r="F67" s="397">
        <f>1024282938.85</f>
        <v>1024282938.85</v>
      </c>
      <c r="G67" s="397"/>
      <c r="H67" s="322">
        <f t="shared" si="8"/>
        <v>77.5727192725212</v>
      </c>
      <c r="I67" s="322">
        <f t="shared" si="7"/>
        <v>84.03819631260386</v>
      </c>
    </row>
    <row r="68" spans="2:9" ht="13.5" customHeight="1">
      <c r="B68" s="398" t="s">
        <v>602</v>
      </c>
      <c r="C68" s="398" t="s">
        <v>603</v>
      </c>
      <c r="D68" s="397">
        <f>147056497</f>
        <v>147056497</v>
      </c>
      <c r="E68" s="397"/>
      <c r="F68" s="397">
        <f>176431262.38</f>
        <v>176431262.38</v>
      </c>
      <c r="G68" s="397"/>
      <c r="H68" s="322">
        <f t="shared" si="8"/>
        <v>13.361789275594425</v>
      </c>
      <c r="I68" s="322">
        <f t="shared" si="7"/>
        <v>119.97515647336547</v>
      </c>
    </row>
    <row r="69" spans="2:9" ht="13.5" customHeight="1">
      <c r="B69" s="398" t="s">
        <v>604</v>
      </c>
      <c r="C69" s="398" t="s">
        <v>605</v>
      </c>
      <c r="D69" s="397">
        <f>1000000</f>
        <v>1000000</v>
      </c>
      <c r="E69" s="397"/>
      <c r="F69" s="397">
        <f>1000000</f>
        <v>1000000</v>
      </c>
      <c r="G69" s="397"/>
      <c r="H69" s="322">
        <f t="shared" si="8"/>
        <v>0.07573368288220726</v>
      </c>
      <c r="I69" s="322">
        <f t="shared" si="7"/>
        <v>100</v>
      </c>
    </row>
    <row r="70" spans="2:9" ht="37.5" customHeight="1">
      <c r="B70" s="396" t="s">
        <v>666</v>
      </c>
      <c r="C70" s="396" t="s">
        <v>583</v>
      </c>
      <c r="D70" s="397">
        <f>0</f>
        <v>0</v>
      </c>
      <c r="E70" s="397"/>
      <c r="F70" s="397">
        <f>0</f>
        <v>0</v>
      </c>
      <c r="G70" s="397"/>
      <c r="H70" s="322">
        <f t="shared" si="8"/>
        <v>0</v>
      </c>
      <c r="I70" s="322">
        <f t="shared" si="7"/>
      </c>
    </row>
    <row r="71" spans="2:9" ht="13.5" customHeight="1">
      <c r="B71" s="398" t="s">
        <v>606</v>
      </c>
      <c r="C71" s="398" t="s">
        <v>607</v>
      </c>
      <c r="D71" s="397">
        <f>11300000</f>
        <v>11300000</v>
      </c>
      <c r="E71" s="397"/>
      <c r="F71" s="397">
        <f>11300000</f>
        <v>11300000</v>
      </c>
      <c r="G71" s="397"/>
      <c r="H71" s="322">
        <f t="shared" si="8"/>
        <v>0.8557906165689421</v>
      </c>
      <c r="I71" s="322">
        <f t="shared" si="7"/>
        <v>100</v>
      </c>
    </row>
    <row r="72" spans="2:9" ht="35.25" customHeight="1">
      <c r="B72" s="396" t="s">
        <v>666</v>
      </c>
      <c r="C72" s="396" t="s">
        <v>583</v>
      </c>
      <c r="D72" s="397">
        <f>0</f>
        <v>0</v>
      </c>
      <c r="E72" s="397"/>
      <c r="F72" s="397">
        <f>0</f>
        <v>0</v>
      </c>
      <c r="G72" s="397"/>
      <c r="H72" s="322">
        <f t="shared" si="8"/>
        <v>0</v>
      </c>
      <c r="I72" s="322">
        <f t="shared" si="7"/>
      </c>
    </row>
    <row r="73" spans="2:9" ht="13.5" customHeight="1">
      <c r="B73" s="398" t="s">
        <v>608</v>
      </c>
      <c r="C73" s="398" t="s">
        <v>609</v>
      </c>
      <c r="D73" s="397">
        <f>126000</f>
        <v>126000</v>
      </c>
      <c r="E73" s="397"/>
      <c r="F73" s="397">
        <f>124478.05</f>
        <v>124478.05</v>
      </c>
      <c r="G73" s="397"/>
      <c r="H73" s="322">
        <f t="shared" si="8"/>
        <v>0.00942718116449554</v>
      </c>
      <c r="I73" s="322">
        <f t="shared" si="7"/>
        <v>98.79210317460317</v>
      </c>
    </row>
  </sheetData>
  <mergeCells count="106"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9"/>
    <mergeCell ref="D48:E48"/>
    <mergeCell ref="F48:G48"/>
    <mergeCell ref="D49:G49"/>
    <mergeCell ref="I40:J40"/>
    <mergeCell ref="I41:J41"/>
    <mergeCell ref="H49:I49"/>
    <mergeCell ref="I42:J42"/>
    <mergeCell ref="I43:J43"/>
    <mergeCell ref="I44:J44"/>
    <mergeCell ref="I45:J45"/>
    <mergeCell ref="I36:J36"/>
    <mergeCell ref="I37:J37"/>
    <mergeCell ref="I38:J38"/>
    <mergeCell ref="I39:J39"/>
    <mergeCell ref="K32:L32"/>
    <mergeCell ref="I33:J33"/>
    <mergeCell ref="I34:J34"/>
    <mergeCell ref="I35:J35"/>
    <mergeCell ref="B29:B32"/>
    <mergeCell ref="C29:C31"/>
    <mergeCell ref="D29:D31"/>
    <mergeCell ref="E29:E31"/>
    <mergeCell ref="C32:J32"/>
    <mergeCell ref="F29:H29"/>
    <mergeCell ref="I29:J31"/>
    <mergeCell ref="K29:K31"/>
    <mergeCell ref="L29:L31"/>
    <mergeCell ref="F30:F31"/>
    <mergeCell ref="G30:H30"/>
    <mergeCell ref="B1:M1"/>
    <mergeCell ref="B3:B4"/>
    <mergeCell ref="C4:E4"/>
    <mergeCell ref="F4:H4"/>
  </mergeCells>
  <printOptions horizontalCentered="1"/>
  <pageMargins left="0.2362204724409449" right="0.15748031496062992" top="0.5118110236220472" bottom="0.31496062992125984" header="0.15748031496062992" footer="0.1968503937007874"/>
  <pageSetup horizontalDpi="1200" verticalDpi="1200" orientation="landscape" paperSize="9" r:id="rId3"/>
  <headerFooter alignWithMargins="0">
    <oddFooter>&amp;RStrona &amp;P z 5</oddFooter>
  </headerFooter>
  <rowBreaks count="2" manualBreakCount="2">
    <brk id="27" max="255" man="1"/>
    <brk id="46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1" sqref="A1:M1"/>
    </sheetView>
  </sheetViews>
  <sheetFormatPr defaultColWidth="9.140625" defaultRowHeight="13.5" customHeight="1"/>
  <cols>
    <col min="1" max="1" width="21.28125" style="296" customWidth="1"/>
    <col min="2" max="4" width="11.421875" style="296" customWidth="1"/>
    <col min="5" max="5" width="10.00390625" style="296" customWidth="1"/>
    <col min="6" max="6" width="11.421875" style="296" customWidth="1"/>
    <col min="7" max="7" width="10.140625" style="296" customWidth="1"/>
    <col min="8" max="8" width="9.00390625" style="296" customWidth="1"/>
    <col min="9" max="9" width="10.140625" style="296" customWidth="1"/>
    <col min="10" max="10" width="11.421875" style="296" customWidth="1"/>
    <col min="11" max="13" width="10.00390625" style="296" customWidth="1"/>
    <col min="14" max="16384" width="9.140625" style="296" customWidth="1"/>
  </cols>
  <sheetData>
    <row r="1" spans="1:13" ht="13.5" customHeight="1">
      <c r="A1" s="420" t="s">
        <v>689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4.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customHeight="1">
      <c r="A3" s="426" t="s">
        <v>626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ht="3.75" customHeight="1"/>
    <row r="5" spans="1:13" ht="13.5" customHeight="1">
      <c r="A5" s="441" t="s">
        <v>463</v>
      </c>
      <c r="B5" s="436" t="s">
        <v>627</v>
      </c>
      <c r="C5" s="439" t="s">
        <v>628</v>
      </c>
      <c r="D5" s="439"/>
      <c r="E5" s="439"/>
      <c r="F5" s="439"/>
      <c r="G5" s="439"/>
      <c r="H5" s="439"/>
      <c r="I5" s="439"/>
      <c r="J5" s="439"/>
      <c r="K5" s="439"/>
      <c r="L5" s="439"/>
      <c r="M5" s="440"/>
    </row>
    <row r="6" spans="1:13" ht="13.5" customHeight="1">
      <c r="A6" s="442"/>
      <c r="B6" s="437"/>
      <c r="C6" s="444" t="s">
        <v>629</v>
      </c>
      <c r="D6" s="439"/>
      <c r="E6" s="439"/>
      <c r="F6" s="439"/>
      <c r="G6" s="439"/>
      <c r="H6" s="439"/>
      <c r="I6" s="439"/>
      <c r="J6" s="440"/>
      <c r="K6" s="444" t="s">
        <v>630</v>
      </c>
      <c r="L6" s="439"/>
      <c r="M6" s="440"/>
    </row>
    <row r="7" spans="1:13" ht="13.5" customHeight="1">
      <c r="A7" s="442"/>
      <c r="B7" s="437"/>
      <c r="C7" s="436" t="s">
        <v>465</v>
      </c>
      <c r="D7" s="439" t="s">
        <v>631</v>
      </c>
      <c r="E7" s="439"/>
      <c r="F7" s="439"/>
      <c r="G7" s="439"/>
      <c r="H7" s="439"/>
      <c r="I7" s="439"/>
      <c r="J7" s="440"/>
      <c r="K7" s="436" t="s">
        <v>465</v>
      </c>
      <c r="L7" s="439" t="s">
        <v>631</v>
      </c>
      <c r="M7" s="440"/>
    </row>
    <row r="8" spans="1:13" ht="13.5" customHeight="1">
      <c r="A8" s="442"/>
      <c r="B8" s="437"/>
      <c r="C8" s="437"/>
      <c r="D8" s="436" t="s">
        <v>632</v>
      </c>
      <c r="E8" s="440" t="s">
        <v>633</v>
      </c>
      <c r="F8" s="425"/>
      <c r="G8" s="425"/>
      <c r="H8" s="425"/>
      <c r="I8" s="421" t="s">
        <v>634</v>
      </c>
      <c r="J8" s="421" t="s">
        <v>635</v>
      </c>
      <c r="K8" s="437"/>
      <c r="L8" s="421" t="s">
        <v>636</v>
      </c>
      <c r="M8" s="421" t="s">
        <v>637</v>
      </c>
    </row>
    <row r="9" spans="1:13" ht="13.5" customHeight="1">
      <c r="A9" s="442"/>
      <c r="B9" s="437"/>
      <c r="C9" s="437"/>
      <c r="D9" s="437"/>
      <c r="E9" s="436" t="s">
        <v>638</v>
      </c>
      <c r="F9" s="298" t="s">
        <v>631</v>
      </c>
      <c r="G9" s="421" t="s">
        <v>639</v>
      </c>
      <c r="H9" s="421" t="s">
        <v>640</v>
      </c>
      <c r="I9" s="422"/>
      <c r="J9" s="422"/>
      <c r="K9" s="437"/>
      <c r="L9" s="422"/>
      <c r="M9" s="422"/>
    </row>
    <row r="10" spans="1:13" ht="11.25" customHeight="1">
      <c r="A10" s="442"/>
      <c r="B10" s="437"/>
      <c r="C10" s="437"/>
      <c r="D10" s="437"/>
      <c r="E10" s="437"/>
      <c r="F10" s="421" t="s">
        <v>641</v>
      </c>
      <c r="G10" s="422"/>
      <c r="H10" s="422"/>
      <c r="I10" s="422"/>
      <c r="J10" s="422"/>
      <c r="K10" s="437"/>
      <c r="L10" s="422"/>
      <c r="M10" s="422"/>
    </row>
    <row r="11" spans="1:13" ht="11.25" customHeight="1">
      <c r="A11" s="443"/>
      <c r="B11" s="438"/>
      <c r="C11" s="438"/>
      <c r="D11" s="438"/>
      <c r="E11" s="438"/>
      <c r="F11" s="423"/>
      <c r="G11" s="423"/>
      <c r="H11" s="423"/>
      <c r="I11" s="423"/>
      <c r="J11" s="423"/>
      <c r="K11" s="438"/>
      <c r="L11" s="423"/>
      <c r="M11" s="423"/>
    </row>
    <row r="12" spans="1:13" ht="9.75" customHeight="1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</row>
    <row r="13" spans="1:13" ht="33.75">
      <c r="A13" s="300" t="s">
        <v>642</v>
      </c>
      <c r="B13" s="301">
        <f>2019319517.96</f>
        <v>2019319517.96</v>
      </c>
      <c r="C13" s="301">
        <f>1759547517.96</f>
        <v>1759547517.96</v>
      </c>
      <c r="D13" s="301">
        <f>640331938.7</f>
        <v>640331938.7</v>
      </c>
      <c r="E13" s="301">
        <f>634016006.62</f>
        <v>634016006.62</v>
      </c>
      <c r="F13" s="301">
        <f>484678318.53</f>
        <v>484678318.53</v>
      </c>
      <c r="G13" s="301">
        <f>5701128.42</f>
        <v>5701128.42</v>
      </c>
      <c r="H13" s="301">
        <f>614803.66</f>
        <v>614803.66</v>
      </c>
      <c r="I13" s="301">
        <f>0</f>
        <v>0</v>
      </c>
      <c r="J13" s="301">
        <f>1113578171.85</f>
        <v>1113578171.85</v>
      </c>
      <c r="K13" s="301">
        <f>259772000</f>
        <v>259772000</v>
      </c>
      <c r="L13" s="301">
        <f>0</f>
        <v>0</v>
      </c>
      <c r="M13" s="301">
        <f>259772000</f>
        <v>259772000</v>
      </c>
    </row>
    <row r="14" spans="1:13" ht="22.5">
      <c r="A14" s="302" t="s">
        <v>643</v>
      </c>
      <c r="B14" s="301">
        <f>351000000</f>
        <v>351000000</v>
      </c>
      <c r="C14" s="301">
        <f>351000000</f>
        <v>351000000</v>
      </c>
      <c r="D14" s="301">
        <f>0</f>
        <v>0</v>
      </c>
      <c r="E14" s="301">
        <f>0</f>
        <v>0</v>
      </c>
      <c r="F14" s="301">
        <f>0</f>
        <v>0</v>
      </c>
      <c r="G14" s="301">
        <f>0</f>
        <v>0</v>
      </c>
      <c r="H14" s="301">
        <f>0</f>
        <v>0</v>
      </c>
      <c r="I14" s="301">
        <f>0</f>
        <v>0</v>
      </c>
      <c r="J14" s="301">
        <f>351000000</f>
        <v>351000000</v>
      </c>
      <c r="K14" s="301">
        <f>0</f>
        <v>0</v>
      </c>
      <c r="L14" s="301">
        <f>0</f>
        <v>0</v>
      </c>
      <c r="M14" s="301">
        <f>0</f>
        <v>0</v>
      </c>
    </row>
    <row r="15" spans="1:13" ht="13.5" customHeight="1">
      <c r="A15" s="303" t="s">
        <v>644</v>
      </c>
      <c r="B15" s="301">
        <f>351000000</f>
        <v>351000000</v>
      </c>
      <c r="C15" s="301">
        <f>351000000</f>
        <v>351000000</v>
      </c>
      <c r="D15" s="301">
        <f>0</f>
        <v>0</v>
      </c>
      <c r="E15" s="301">
        <f>0</f>
        <v>0</v>
      </c>
      <c r="F15" s="301">
        <f>0</f>
        <v>0</v>
      </c>
      <c r="G15" s="301">
        <f>0</f>
        <v>0</v>
      </c>
      <c r="H15" s="301">
        <f>0</f>
        <v>0</v>
      </c>
      <c r="I15" s="301">
        <f>0</f>
        <v>0</v>
      </c>
      <c r="J15" s="301">
        <f>351000000</f>
        <v>351000000</v>
      </c>
      <c r="K15" s="301">
        <f>0</f>
        <v>0</v>
      </c>
      <c r="L15" s="301">
        <f>0</f>
        <v>0</v>
      </c>
      <c r="M15" s="301">
        <f>0</f>
        <v>0</v>
      </c>
    </row>
    <row r="16" spans="1:13" ht="22.5">
      <c r="A16" s="302" t="s">
        <v>645</v>
      </c>
      <c r="B16" s="301">
        <f>1665180919.76</f>
        <v>1665180919.76</v>
      </c>
      <c r="C16" s="301">
        <f>1405408919.76</f>
        <v>1405408919.76</v>
      </c>
      <c r="D16" s="301">
        <f>638830747.91</f>
        <v>638830747.91</v>
      </c>
      <c r="E16" s="301">
        <f>633777282.66</f>
        <v>633777282.66</v>
      </c>
      <c r="F16" s="301">
        <f>484463608.53</f>
        <v>484463608.53</v>
      </c>
      <c r="G16" s="301">
        <f>5053465.25</f>
        <v>5053465.25</v>
      </c>
      <c r="H16" s="301">
        <f>0</f>
        <v>0</v>
      </c>
      <c r="I16" s="301">
        <f>0</f>
        <v>0</v>
      </c>
      <c r="J16" s="301">
        <f>762578171.85</f>
        <v>762578171.85</v>
      </c>
      <c r="K16" s="301">
        <f>259772000</f>
        <v>259772000</v>
      </c>
      <c r="L16" s="301">
        <f>0</f>
        <v>0</v>
      </c>
      <c r="M16" s="301">
        <f>259772000</f>
        <v>259772000</v>
      </c>
    </row>
    <row r="17" spans="1:13" ht="13.5" customHeight="1">
      <c r="A17" s="303" t="s">
        <v>644</v>
      </c>
      <c r="B17" s="301">
        <f>1339092841.7</f>
        <v>1339092841.7</v>
      </c>
      <c r="C17" s="301">
        <f>1079320841.7</f>
        <v>1079320841.7</v>
      </c>
      <c r="D17" s="301">
        <f>312742669.85</f>
        <v>312742669.85</v>
      </c>
      <c r="E17" s="301">
        <f>312390669.85</f>
        <v>312390669.85</v>
      </c>
      <c r="F17" s="301">
        <f>163076995.72</f>
        <v>163076995.72</v>
      </c>
      <c r="G17" s="301">
        <f>352000</f>
        <v>352000</v>
      </c>
      <c r="H17" s="301">
        <f>0</f>
        <v>0</v>
      </c>
      <c r="I17" s="301">
        <f>0</f>
        <v>0</v>
      </c>
      <c r="J17" s="301">
        <f>762578171.85</f>
        <v>762578171.85</v>
      </c>
      <c r="K17" s="301">
        <f>259772000</f>
        <v>259772000</v>
      </c>
      <c r="L17" s="301">
        <f>0</f>
        <v>0</v>
      </c>
      <c r="M17" s="301">
        <f>259772000</f>
        <v>259772000</v>
      </c>
    </row>
    <row r="18" spans="1:13" ht="13.5" customHeight="1">
      <c r="A18" s="302" t="s">
        <v>646</v>
      </c>
      <c r="B18" s="301">
        <f>0</f>
        <v>0</v>
      </c>
      <c r="C18" s="301">
        <f>0</f>
        <v>0</v>
      </c>
      <c r="D18" s="301">
        <f>0</f>
        <v>0</v>
      </c>
      <c r="E18" s="301">
        <f>0</f>
        <v>0</v>
      </c>
      <c r="F18" s="301">
        <f>0</f>
        <v>0</v>
      </c>
      <c r="G18" s="301">
        <f>0</f>
        <v>0</v>
      </c>
      <c r="H18" s="301">
        <f>0</f>
        <v>0</v>
      </c>
      <c r="I18" s="301">
        <f>0</f>
        <v>0</v>
      </c>
      <c r="J18" s="301">
        <f>0</f>
        <v>0</v>
      </c>
      <c r="K18" s="301">
        <f>0</f>
        <v>0</v>
      </c>
      <c r="L18" s="301">
        <f>0</f>
        <v>0</v>
      </c>
      <c r="M18" s="301">
        <f>0</f>
        <v>0</v>
      </c>
    </row>
    <row r="19" spans="1:13" ht="22.5">
      <c r="A19" s="302" t="s">
        <v>647</v>
      </c>
      <c r="B19" s="301">
        <f>3138598.2</f>
        <v>3138598.2</v>
      </c>
      <c r="C19" s="301">
        <f>3138598.2</f>
        <v>3138598.2</v>
      </c>
      <c r="D19" s="301">
        <f>1501190.79</f>
        <v>1501190.79</v>
      </c>
      <c r="E19" s="301">
        <f>238723.96</f>
        <v>238723.96</v>
      </c>
      <c r="F19" s="301">
        <f>214710</f>
        <v>214710</v>
      </c>
      <c r="G19" s="301">
        <f>647663.17</f>
        <v>647663.17</v>
      </c>
      <c r="H19" s="301">
        <f>614803.66</f>
        <v>614803.66</v>
      </c>
      <c r="I19" s="301">
        <f>0</f>
        <v>0</v>
      </c>
      <c r="J19" s="301">
        <f>0</f>
        <v>0</v>
      </c>
      <c r="K19" s="301">
        <f>0</f>
        <v>0</v>
      </c>
      <c r="L19" s="301">
        <f>0</f>
        <v>0</v>
      </c>
      <c r="M19" s="301">
        <f>0</f>
        <v>0</v>
      </c>
    </row>
    <row r="20" spans="1:13" ht="12.75">
      <c r="A20" s="302" t="s">
        <v>648</v>
      </c>
      <c r="B20" s="301">
        <f>1125770.49</f>
        <v>1125770.49</v>
      </c>
      <c r="C20" s="301">
        <f>1125770.49</f>
        <v>1125770.49</v>
      </c>
      <c r="D20" s="301">
        <f>45894.24</f>
        <v>45894.24</v>
      </c>
      <c r="E20" s="301">
        <f>0</f>
        <v>0</v>
      </c>
      <c r="F20" s="301">
        <f>0</f>
        <v>0</v>
      </c>
      <c r="G20" s="301">
        <f>45894.24</f>
        <v>45894.24</v>
      </c>
      <c r="H20" s="301">
        <f>0</f>
        <v>0</v>
      </c>
      <c r="I20" s="301">
        <f>0</f>
        <v>0</v>
      </c>
      <c r="J20" s="301">
        <f>0</f>
        <v>0</v>
      </c>
      <c r="K20" s="301">
        <f>0</f>
        <v>0</v>
      </c>
      <c r="L20" s="301">
        <f>0</f>
        <v>0</v>
      </c>
      <c r="M20" s="301">
        <f>0</f>
        <v>0</v>
      </c>
    </row>
    <row r="21" ht="6.75" customHeight="1"/>
    <row r="22" spans="1:13" ht="13.5" customHeight="1">
      <c r="A22" s="426" t="s">
        <v>649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ht="3.75" customHeight="1"/>
    <row r="24" spans="1:13" ht="13.5" customHeight="1">
      <c r="A24" s="441" t="s">
        <v>463</v>
      </c>
      <c r="B24" s="436" t="s">
        <v>650</v>
      </c>
      <c r="C24" s="439" t="s">
        <v>651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</row>
    <row r="25" spans="1:13" ht="13.5" customHeight="1">
      <c r="A25" s="442"/>
      <c r="B25" s="437"/>
      <c r="C25" s="444" t="s">
        <v>629</v>
      </c>
      <c r="D25" s="439"/>
      <c r="E25" s="439"/>
      <c r="F25" s="439"/>
      <c r="G25" s="439"/>
      <c r="H25" s="439"/>
      <c r="I25" s="439"/>
      <c r="J25" s="440"/>
      <c r="K25" s="444" t="s">
        <v>630</v>
      </c>
      <c r="L25" s="439"/>
      <c r="M25" s="440"/>
    </row>
    <row r="26" spans="1:13" ht="13.5" customHeight="1">
      <c r="A26" s="442"/>
      <c r="B26" s="437"/>
      <c r="C26" s="436" t="s">
        <v>465</v>
      </c>
      <c r="D26" s="439" t="s">
        <v>652</v>
      </c>
      <c r="E26" s="439"/>
      <c r="F26" s="439"/>
      <c r="G26" s="439"/>
      <c r="H26" s="439"/>
      <c r="I26" s="439"/>
      <c r="J26" s="440"/>
      <c r="K26" s="436" t="s">
        <v>465</v>
      </c>
      <c r="L26" s="439" t="s">
        <v>652</v>
      </c>
      <c r="M26" s="440"/>
    </row>
    <row r="27" spans="1:13" ht="13.5" customHeight="1">
      <c r="A27" s="442"/>
      <c r="B27" s="437"/>
      <c r="C27" s="437"/>
      <c r="D27" s="436" t="s">
        <v>632</v>
      </c>
      <c r="E27" s="440" t="s">
        <v>653</v>
      </c>
      <c r="F27" s="425"/>
      <c r="G27" s="425"/>
      <c r="H27" s="425"/>
      <c r="I27" s="421" t="s">
        <v>634</v>
      </c>
      <c r="J27" s="421" t="s">
        <v>635</v>
      </c>
      <c r="K27" s="437"/>
      <c r="L27" s="421" t="s">
        <v>636</v>
      </c>
      <c r="M27" s="421" t="s">
        <v>637</v>
      </c>
    </row>
    <row r="28" spans="1:13" ht="13.5" customHeight="1">
      <c r="A28" s="442"/>
      <c r="B28" s="437"/>
      <c r="C28" s="437"/>
      <c r="D28" s="437"/>
      <c r="E28" s="436" t="s">
        <v>638</v>
      </c>
      <c r="F28" s="298" t="s">
        <v>652</v>
      </c>
      <c r="G28" s="421" t="s">
        <v>639</v>
      </c>
      <c r="H28" s="421" t="s">
        <v>640</v>
      </c>
      <c r="I28" s="422"/>
      <c r="J28" s="422"/>
      <c r="K28" s="437"/>
      <c r="L28" s="422"/>
      <c r="M28" s="422"/>
    </row>
    <row r="29" spans="1:13" ht="11.25" customHeight="1">
      <c r="A29" s="442"/>
      <c r="B29" s="437"/>
      <c r="C29" s="437"/>
      <c r="D29" s="437"/>
      <c r="E29" s="437"/>
      <c r="F29" s="421" t="s">
        <v>641</v>
      </c>
      <c r="G29" s="422"/>
      <c r="H29" s="422"/>
      <c r="I29" s="422"/>
      <c r="J29" s="422"/>
      <c r="K29" s="437"/>
      <c r="L29" s="422"/>
      <c r="M29" s="422"/>
    </row>
    <row r="30" spans="1:13" ht="7.5" customHeight="1">
      <c r="A30" s="443"/>
      <c r="B30" s="438"/>
      <c r="C30" s="438"/>
      <c r="D30" s="438"/>
      <c r="E30" s="438"/>
      <c r="F30" s="423"/>
      <c r="G30" s="423"/>
      <c r="H30" s="423"/>
      <c r="I30" s="423"/>
      <c r="J30" s="423"/>
      <c r="K30" s="438"/>
      <c r="L30" s="423"/>
      <c r="M30" s="423"/>
    </row>
    <row r="31" spans="1:13" ht="10.5" customHeight="1">
      <c r="A31" s="299">
        <v>1</v>
      </c>
      <c r="B31" s="299">
        <v>2</v>
      </c>
      <c r="C31" s="299">
        <v>3</v>
      </c>
      <c r="D31" s="299">
        <v>4</v>
      </c>
      <c r="E31" s="299">
        <v>5</v>
      </c>
      <c r="F31" s="299">
        <v>6</v>
      </c>
      <c r="G31" s="299">
        <v>7</v>
      </c>
      <c r="H31" s="299">
        <v>8</v>
      </c>
      <c r="I31" s="299">
        <v>9</v>
      </c>
      <c r="J31" s="299">
        <v>10</v>
      </c>
      <c r="K31" s="299">
        <v>11</v>
      </c>
      <c r="L31" s="299">
        <v>12</v>
      </c>
      <c r="M31" s="299">
        <v>13</v>
      </c>
    </row>
    <row r="32" spans="1:13" ht="22.5">
      <c r="A32" s="300" t="s">
        <v>654</v>
      </c>
      <c r="B32" s="304">
        <f>374153116.23</f>
        <v>374153116.23</v>
      </c>
      <c r="C32" s="304">
        <f>374153116.23</f>
        <v>374153116.23</v>
      </c>
      <c r="D32" s="304">
        <f>289471014.7</f>
        <v>289471014.7</v>
      </c>
      <c r="E32" s="304">
        <f>105702.27</f>
        <v>105702.27</v>
      </c>
      <c r="F32" s="304">
        <f>0</f>
        <v>0</v>
      </c>
      <c r="G32" s="304">
        <f>289354231.27</f>
        <v>289354231.27</v>
      </c>
      <c r="H32" s="304">
        <f>11081.16</f>
        <v>11081.16</v>
      </c>
      <c r="I32" s="304">
        <f>0</f>
        <v>0</v>
      </c>
      <c r="J32" s="304">
        <f>30000000</f>
        <v>30000000</v>
      </c>
      <c r="K32" s="304">
        <f>0</f>
        <v>0</v>
      </c>
      <c r="L32" s="304">
        <f>0</f>
        <v>0</v>
      </c>
      <c r="M32" s="304">
        <f>0</f>
        <v>0</v>
      </c>
    </row>
    <row r="33" spans="1:13" ht="22.5">
      <c r="A33" s="302" t="s">
        <v>643</v>
      </c>
      <c r="B33" s="304">
        <f>0</f>
        <v>0</v>
      </c>
      <c r="C33" s="304">
        <f>0</f>
        <v>0</v>
      </c>
      <c r="D33" s="304">
        <f>0</f>
        <v>0</v>
      </c>
      <c r="E33" s="304">
        <f>0</f>
        <v>0</v>
      </c>
      <c r="F33" s="304">
        <f>0</f>
        <v>0</v>
      </c>
      <c r="G33" s="304">
        <f>0</f>
        <v>0</v>
      </c>
      <c r="H33" s="304">
        <f>0</f>
        <v>0</v>
      </c>
      <c r="I33" s="304">
        <f>0</f>
        <v>0</v>
      </c>
      <c r="J33" s="304">
        <f>0</f>
        <v>0</v>
      </c>
      <c r="K33" s="304">
        <f>0</f>
        <v>0</v>
      </c>
      <c r="L33" s="304">
        <f>0</f>
        <v>0</v>
      </c>
      <c r="M33" s="304">
        <f>0</f>
        <v>0</v>
      </c>
    </row>
    <row r="34" spans="1:13" ht="13.5" customHeight="1">
      <c r="A34" s="303" t="s">
        <v>644</v>
      </c>
      <c r="B34" s="304">
        <f>0</f>
        <v>0</v>
      </c>
      <c r="C34" s="304">
        <f>0</f>
        <v>0</v>
      </c>
      <c r="D34" s="304">
        <f>0</f>
        <v>0</v>
      </c>
      <c r="E34" s="304">
        <f>0</f>
        <v>0</v>
      </c>
      <c r="F34" s="304">
        <f>0</f>
        <v>0</v>
      </c>
      <c r="G34" s="304">
        <f>0</f>
        <v>0</v>
      </c>
      <c r="H34" s="304">
        <f>0</f>
        <v>0</v>
      </c>
      <c r="I34" s="304">
        <f>0</f>
        <v>0</v>
      </c>
      <c r="J34" s="304">
        <f>0</f>
        <v>0</v>
      </c>
      <c r="K34" s="304">
        <f>0</f>
        <v>0</v>
      </c>
      <c r="L34" s="304">
        <f>0</f>
        <v>0</v>
      </c>
      <c r="M34" s="304">
        <f>0</f>
        <v>0</v>
      </c>
    </row>
    <row r="35" spans="1:13" ht="22.5">
      <c r="A35" s="302" t="s">
        <v>645</v>
      </c>
      <c r="B35" s="304">
        <f>285612919.74</f>
        <v>285612919.74</v>
      </c>
      <c r="C35" s="304">
        <f>285612919.74</f>
        <v>285612919.74</v>
      </c>
      <c r="D35" s="304">
        <f>285017240.15</f>
        <v>285017240.15</v>
      </c>
      <c r="E35" s="304">
        <f>0</f>
        <v>0</v>
      </c>
      <c r="F35" s="304">
        <f>0</f>
        <v>0</v>
      </c>
      <c r="G35" s="304">
        <f>285017240.15</f>
        <v>285017240.15</v>
      </c>
      <c r="H35" s="304">
        <f>0</f>
        <v>0</v>
      </c>
      <c r="I35" s="304">
        <f>0</f>
        <v>0</v>
      </c>
      <c r="J35" s="304">
        <f>0</f>
        <v>0</v>
      </c>
      <c r="K35" s="304">
        <f>0</f>
        <v>0</v>
      </c>
      <c r="L35" s="304">
        <f>0</f>
        <v>0</v>
      </c>
      <c r="M35" s="304">
        <f>0</f>
        <v>0</v>
      </c>
    </row>
    <row r="36" spans="1:13" ht="13.5" customHeight="1">
      <c r="A36" s="303" t="s">
        <v>644</v>
      </c>
      <c r="B36" s="304">
        <f>239729052.2</f>
        <v>239729052.2</v>
      </c>
      <c r="C36" s="304">
        <f>239729052.2</f>
        <v>239729052.2</v>
      </c>
      <c r="D36" s="304">
        <f>239133372.61</f>
        <v>239133372.61</v>
      </c>
      <c r="E36" s="304">
        <f>0</f>
        <v>0</v>
      </c>
      <c r="F36" s="304">
        <f>0</f>
        <v>0</v>
      </c>
      <c r="G36" s="304">
        <f>239133372.61</f>
        <v>239133372.61</v>
      </c>
      <c r="H36" s="304">
        <f>0</f>
        <v>0</v>
      </c>
      <c r="I36" s="304">
        <f>0</f>
        <v>0</v>
      </c>
      <c r="J36" s="304">
        <f>0</f>
        <v>0</v>
      </c>
      <c r="K36" s="304">
        <f>0</f>
        <v>0</v>
      </c>
      <c r="L36" s="304">
        <f>0</f>
        <v>0</v>
      </c>
      <c r="M36" s="304">
        <f>0</f>
        <v>0</v>
      </c>
    </row>
    <row r="37" spans="1:13" ht="13.5" customHeight="1">
      <c r="A37" s="302" t="s">
        <v>655</v>
      </c>
      <c r="B37" s="304">
        <f>30006100</f>
        <v>30006100</v>
      </c>
      <c r="C37" s="304">
        <f>30006100</f>
        <v>30006100</v>
      </c>
      <c r="D37" s="304">
        <f>6100</f>
        <v>6100</v>
      </c>
      <c r="E37" s="304">
        <f>0</f>
        <v>0</v>
      </c>
      <c r="F37" s="304">
        <f>0</f>
        <v>0</v>
      </c>
      <c r="G37" s="304">
        <f>6100</f>
        <v>6100</v>
      </c>
      <c r="H37" s="304">
        <f>0</f>
        <v>0</v>
      </c>
      <c r="I37" s="304">
        <f>0</f>
        <v>0</v>
      </c>
      <c r="J37" s="304">
        <f>30000000</f>
        <v>30000000</v>
      </c>
      <c r="K37" s="304">
        <f>0</f>
        <v>0</v>
      </c>
      <c r="L37" s="304">
        <f>0</f>
        <v>0</v>
      </c>
      <c r="M37" s="304">
        <f>0</f>
        <v>0</v>
      </c>
    </row>
    <row r="38" spans="1:13" ht="22.5">
      <c r="A38" s="302" t="s">
        <v>656</v>
      </c>
      <c r="B38" s="304">
        <f>58534096.49</f>
        <v>58534096.49</v>
      </c>
      <c r="C38" s="304">
        <f>58534096.49</f>
        <v>58534096.49</v>
      </c>
      <c r="D38" s="304">
        <f>4447674.55</f>
        <v>4447674.55</v>
      </c>
      <c r="E38" s="304">
        <f>105702.27</f>
        <v>105702.27</v>
      </c>
      <c r="F38" s="304">
        <f>0</f>
        <v>0</v>
      </c>
      <c r="G38" s="304">
        <f>4330891.12</f>
        <v>4330891.12</v>
      </c>
      <c r="H38" s="304">
        <f>11081.16</f>
        <v>11081.16</v>
      </c>
      <c r="I38" s="304">
        <f>0</f>
        <v>0</v>
      </c>
      <c r="J38" s="304">
        <f>0</f>
        <v>0</v>
      </c>
      <c r="K38" s="304">
        <f>0</f>
        <v>0</v>
      </c>
      <c r="L38" s="304">
        <f>0</f>
        <v>0</v>
      </c>
      <c r="M38" s="304">
        <f>0</f>
        <v>0</v>
      </c>
    </row>
    <row r="39" spans="1:13" ht="12.75">
      <c r="A39" s="302" t="s">
        <v>648</v>
      </c>
      <c r="B39" s="304">
        <f>33887771.56</f>
        <v>33887771.56</v>
      </c>
      <c r="C39" s="304">
        <f>33887771.56</f>
        <v>33887771.56</v>
      </c>
      <c r="D39" s="304">
        <f>2690611.58</f>
        <v>2690611.58</v>
      </c>
      <c r="E39" s="304">
        <f>104658.72</f>
        <v>104658.72</v>
      </c>
      <c r="F39" s="304">
        <f>0</f>
        <v>0</v>
      </c>
      <c r="G39" s="304">
        <f>2585952.86</f>
        <v>2585952.86</v>
      </c>
      <c r="H39" s="304">
        <f>0</f>
        <v>0</v>
      </c>
      <c r="I39" s="304">
        <f>0</f>
        <v>0</v>
      </c>
      <c r="J39" s="304">
        <f>0</f>
        <v>0</v>
      </c>
      <c r="K39" s="304">
        <f>0</f>
        <v>0</v>
      </c>
      <c r="L39" s="304">
        <f>0</f>
        <v>0</v>
      </c>
      <c r="M39" s="304">
        <f>0</f>
        <v>0</v>
      </c>
    </row>
    <row r="41" spans="2:13" ht="13.5" customHeight="1">
      <c r="B41" s="426" t="s">
        <v>657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</row>
    <row r="43" spans="2:11" ht="13.5" customHeight="1">
      <c r="B43" s="427" t="s">
        <v>463</v>
      </c>
      <c r="C43" s="428"/>
      <c r="D43" s="428"/>
      <c r="E43" s="429"/>
      <c r="F43" s="436" t="s">
        <v>465</v>
      </c>
      <c r="G43" s="439" t="s">
        <v>631</v>
      </c>
      <c r="H43" s="439"/>
      <c r="I43" s="439"/>
      <c r="J43" s="439"/>
      <c r="K43" s="440"/>
    </row>
    <row r="44" spans="2:11" ht="13.5" customHeight="1">
      <c r="B44" s="430"/>
      <c r="C44" s="431"/>
      <c r="D44" s="431"/>
      <c r="E44" s="432"/>
      <c r="F44" s="437"/>
      <c r="G44" s="436" t="s">
        <v>658</v>
      </c>
      <c r="H44" s="439" t="s">
        <v>633</v>
      </c>
      <c r="I44" s="439"/>
      <c r="J44" s="439"/>
      <c r="K44" s="440"/>
    </row>
    <row r="45" spans="2:11" ht="13.5" customHeight="1">
      <c r="B45" s="430"/>
      <c r="C45" s="431"/>
      <c r="D45" s="431"/>
      <c r="E45" s="432"/>
      <c r="F45" s="437"/>
      <c r="G45" s="437"/>
      <c r="H45" s="436" t="s">
        <v>638</v>
      </c>
      <c r="I45" s="298" t="s">
        <v>631</v>
      </c>
      <c r="J45" s="421" t="s">
        <v>639</v>
      </c>
      <c r="K45" s="421" t="s">
        <v>640</v>
      </c>
    </row>
    <row r="46" spans="2:11" ht="11.25" customHeight="1">
      <c r="B46" s="430"/>
      <c r="C46" s="431"/>
      <c r="D46" s="431"/>
      <c r="E46" s="432"/>
      <c r="F46" s="437"/>
      <c r="G46" s="437"/>
      <c r="H46" s="437"/>
      <c r="I46" s="421" t="s">
        <v>641</v>
      </c>
      <c r="J46" s="422"/>
      <c r="K46" s="422"/>
    </row>
    <row r="47" spans="2:11" ht="11.25" customHeight="1">
      <c r="B47" s="433"/>
      <c r="C47" s="434"/>
      <c r="D47" s="434"/>
      <c r="E47" s="435"/>
      <c r="F47" s="438"/>
      <c r="G47" s="438"/>
      <c r="H47" s="438"/>
      <c r="I47" s="423"/>
      <c r="J47" s="423"/>
      <c r="K47" s="423"/>
    </row>
    <row r="48" spans="2:11" ht="13.5" customHeight="1">
      <c r="B48" s="425">
        <v>1</v>
      </c>
      <c r="C48" s="425"/>
      <c r="D48" s="425"/>
      <c r="E48" s="425"/>
      <c r="F48" s="299">
        <v>2</v>
      </c>
      <c r="G48" s="299">
        <v>3</v>
      </c>
      <c r="H48" s="299">
        <v>4</v>
      </c>
      <c r="I48" s="299">
        <v>5</v>
      </c>
      <c r="J48" s="299">
        <v>6</v>
      </c>
      <c r="K48" s="299">
        <v>7</v>
      </c>
    </row>
    <row r="49" spans="2:11" ht="33.75" customHeight="1">
      <c r="B49" s="424" t="s">
        <v>659</v>
      </c>
      <c r="C49" s="424"/>
      <c r="D49" s="424"/>
      <c r="E49" s="424"/>
      <c r="F49" s="301">
        <f>1022383576.32</f>
        <v>1022383576.32</v>
      </c>
      <c r="G49" s="301">
        <f>925047761.46</f>
        <v>925047761.46</v>
      </c>
      <c r="H49" s="301">
        <f>349995</f>
        <v>349995</v>
      </c>
      <c r="I49" s="301">
        <f>0</f>
        <v>0</v>
      </c>
      <c r="J49" s="301">
        <f>754798076.46</f>
        <v>754798076.46</v>
      </c>
      <c r="K49" s="301">
        <f>169899690</f>
        <v>169899690</v>
      </c>
    </row>
    <row r="50" spans="2:11" ht="33.75" customHeight="1">
      <c r="B50" s="424" t="s">
        <v>660</v>
      </c>
      <c r="C50" s="424"/>
      <c r="D50" s="424"/>
      <c r="E50" s="424"/>
      <c r="F50" s="301">
        <f>25927285.15</f>
        <v>25927285.15</v>
      </c>
      <c r="G50" s="301">
        <f>18389806.08</f>
        <v>18389806.08</v>
      </c>
      <c r="H50" s="301">
        <f>179787.46</f>
        <v>179787.46</v>
      </c>
      <c r="I50" s="301">
        <f>0</f>
        <v>0</v>
      </c>
      <c r="J50" s="301">
        <f>18210018.62</f>
        <v>18210018.62</v>
      </c>
      <c r="K50" s="301">
        <f>0</f>
        <v>0</v>
      </c>
    </row>
    <row r="51" spans="2:11" ht="33.75" customHeight="1">
      <c r="B51" s="424" t="s">
        <v>661</v>
      </c>
      <c r="C51" s="424"/>
      <c r="D51" s="424"/>
      <c r="E51" s="424"/>
      <c r="F51" s="301">
        <f>0</f>
        <v>0</v>
      </c>
      <c r="G51" s="301">
        <f>0</f>
        <v>0</v>
      </c>
      <c r="H51" s="301">
        <f>0</f>
        <v>0</v>
      </c>
      <c r="I51" s="301">
        <f>0</f>
        <v>0</v>
      </c>
      <c r="J51" s="301">
        <f>0</f>
        <v>0</v>
      </c>
      <c r="K51" s="301">
        <f>0</f>
        <v>0</v>
      </c>
    </row>
    <row r="52" spans="2:11" ht="22.5" customHeight="1">
      <c r="B52" s="424" t="s">
        <v>662</v>
      </c>
      <c r="C52" s="424"/>
      <c r="D52" s="424"/>
      <c r="E52" s="424"/>
      <c r="F52" s="301">
        <f>6539987.92</f>
        <v>6539987.92</v>
      </c>
      <c r="G52" s="301">
        <f>6539987.92</f>
        <v>6539987.92</v>
      </c>
      <c r="H52" s="301">
        <f>0</f>
        <v>0</v>
      </c>
      <c r="I52" s="301">
        <f>0</f>
        <v>0</v>
      </c>
      <c r="J52" s="301">
        <f>6539987.92</f>
        <v>6539987.92</v>
      </c>
      <c r="K52" s="301">
        <f>0</f>
        <v>0</v>
      </c>
    </row>
    <row r="53" spans="2:11" ht="33.75" customHeight="1">
      <c r="B53" s="424" t="s">
        <v>663</v>
      </c>
      <c r="C53" s="424"/>
      <c r="D53" s="424"/>
      <c r="E53" s="424"/>
      <c r="F53" s="301">
        <f>6432476.38</f>
        <v>6432476.38</v>
      </c>
      <c r="G53" s="301">
        <f>6432476.38</f>
        <v>6432476.38</v>
      </c>
      <c r="H53" s="301">
        <f>0</f>
        <v>0</v>
      </c>
      <c r="I53" s="301">
        <f>0</f>
        <v>0</v>
      </c>
      <c r="J53" s="301">
        <f>6432476.38</f>
        <v>6432476.38</v>
      </c>
      <c r="K53" s="301">
        <f>0</f>
        <v>0</v>
      </c>
    </row>
    <row r="54" spans="2:11" ht="33.75" customHeight="1">
      <c r="B54" s="424" t="s">
        <v>664</v>
      </c>
      <c r="C54" s="424"/>
      <c r="D54" s="424"/>
      <c r="E54" s="424"/>
      <c r="F54" s="301">
        <f>0</f>
        <v>0</v>
      </c>
      <c r="G54" s="301">
        <f>0</f>
        <v>0</v>
      </c>
      <c r="H54" s="301">
        <f>0</f>
        <v>0</v>
      </c>
      <c r="I54" s="301">
        <f>0</f>
        <v>0</v>
      </c>
      <c r="J54" s="301">
        <f>0</f>
        <v>0</v>
      </c>
      <c r="K54" s="301">
        <f>0</f>
        <v>0</v>
      </c>
    </row>
    <row r="55" spans="2:11" ht="22.5" customHeight="1">
      <c r="B55" s="424" t="s">
        <v>665</v>
      </c>
      <c r="C55" s="424"/>
      <c r="D55" s="424"/>
      <c r="E55" s="424"/>
      <c r="F55" s="301">
        <f>108148905.11</f>
        <v>108148905.11</v>
      </c>
      <c r="G55" s="301">
        <f>98148905.11</f>
        <v>98148905.11</v>
      </c>
      <c r="H55" s="301">
        <f>0</f>
        <v>0</v>
      </c>
      <c r="I55" s="301">
        <f>0</f>
        <v>0</v>
      </c>
      <c r="J55" s="301">
        <f>98148905.11</f>
        <v>98148905.11</v>
      </c>
      <c r="K55" s="301">
        <f>0</f>
        <v>0</v>
      </c>
    </row>
  </sheetData>
  <mergeCells count="59">
    <mergeCell ref="A1:M1"/>
    <mergeCell ref="B52:E52"/>
    <mergeCell ref="B53:E53"/>
    <mergeCell ref="B54:E54"/>
    <mergeCell ref="B43:E47"/>
    <mergeCell ref="F43:F47"/>
    <mergeCell ref="G43:K43"/>
    <mergeCell ref="G44:G47"/>
    <mergeCell ref="H44:K44"/>
    <mergeCell ref="H45:H47"/>
    <mergeCell ref="B55:E55"/>
    <mergeCell ref="B48:E48"/>
    <mergeCell ref="B49:E49"/>
    <mergeCell ref="B50:E50"/>
    <mergeCell ref="B51:E51"/>
    <mergeCell ref="J45:J47"/>
    <mergeCell ref="K45:K47"/>
    <mergeCell ref="I46:I47"/>
    <mergeCell ref="H28:H30"/>
    <mergeCell ref="F29:F30"/>
    <mergeCell ref="B41:M41"/>
    <mergeCell ref="K26:K30"/>
    <mergeCell ref="L26:M26"/>
    <mergeCell ref="D27:D30"/>
    <mergeCell ref="E27:H27"/>
    <mergeCell ref="I27:I30"/>
    <mergeCell ref="J27:J30"/>
    <mergeCell ref="L27:L30"/>
    <mergeCell ref="M27:M30"/>
    <mergeCell ref="E28:E30"/>
    <mergeCell ref="G28:G30"/>
    <mergeCell ref="F10:F11"/>
    <mergeCell ref="A22:M22"/>
    <mergeCell ref="A24:A30"/>
    <mergeCell ref="B24:B30"/>
    <mergeCell ref="C24:M24"/>
    <mergeCell ref="C25:J25"/>
    <mergeCell ref="K25:M25"/>
    <mergeCell ref="C26:C30"/>
    <mergeCell ref="D26:J26"/>
    <mergeCell ref="L7:M7"/>
    <mergeCell ref="D8:D11"/>
    <mergeCell ref="E8:H8"/>
    <mergeCell ref="I8:I11"/>
    <mergeCell ref="J8:J11"/>
    <mergeCell ref="L8:L11"/>
    <mergeCell ref="M8:M11"/>
    <mergeCell ref="E9:E11"/>
    <mergeCell ref="G9:G11"/>
    <mergeCell ref="H9:H11"/>
    <mergeCell ref="A3:M3"/>
    <mergeCell ref="A5:A11"/>
    <mergeCell ref="B5:B11"/>
    <mergeCell ref="C5:M5"/>
    <mergeCell ref="C6:J6"/>
    <mergeCell ref="K6:M6"/>
    <mergeCell ref="C7:C11"/>
    <mergeCell ref="D7:J7"/>
    <mergeCell ref="K7:K11"/>
  </mergeCells>
  <printOptions horizontalCentered="1"/>
  <pageMargins left="0.24" right="0.17" top="0.51" bottom="0.51" header="0.17" footer="0.41"/>
  <pageSetup firstPageNumber="4" useFirstPageNumber="1" horizontalDpi="1200" verticalDpi="1200" orientation="landscape" paperSize="9" scale="95" r:id="rId1"/>
  <headerFooter alignWithMargins="0">
    <oddFooter>&amp;RStrona &amp;P z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3" width="16.7109375" style="0" customWidth="1"/>
    <col min="4" max="4" width="15.00390625" style="0" customWidth="1"/>
    <col min="5" max="5" width="16.00390625" style="0" customWidth="1"/>
  </cols>
  <sheetData>
    <row r="3" spans="1:5" ht="30.75" customHeight="1" thickBot="1">
      <c r="A3" s="502" t="s">
        <v>692</v>
      </c>
      <c r="B3" s="502"/>
      <c r="C3" s="502"/>
      <c r="D3" s="502"/>
      <c r="E3" s="502"/>
    </row>
    <row r="4" spans="1:5" ht="26.25" thickBot="1">
      <c r="A4" s="362" t="s">
        <v>463</v>
      </c>
      <c r="B4" s="363" t="s">
        <v>509</v>
      </c>
      <c r="C4" s="363" t="s">
        <v>693</v>
      </c>
      <c r="D4" s="363" t="s">
        <v>694</v>
      </c>
      <c r="E4" s="363" t="s">
        <v>695</v>
      </c>
    </row>
    <row r="5" spans="1:5" ht="13.5" thickBot="1">
      <c r="A5" s="364">
        <v>1</v>
      </c>
      <c r="B5" s="365">
        <v>2</v>
      </c>
      <c r="C5" s="365">
        <v>3</v>
      </c>
      <c r="D5" s="366">
        <v>4</v>
      </c>
      <c r="E5" s="365">
        <v>5</v>
      </c>
    </row>
    <row r="6" spans="1:5" ht="27" customHeight="1" thickBot="1">
      <c r="A6" s="367" t="s">
        <v>696</v>
      </c>
      <c r="B6" s="368"/>
      <c r="C6" s="369"/>
      <c r="D6" s="369"/>
      <c r="E6" s="369"/>
    </row>
    <row r="7" spans="1:5" ht="13.5" thickBot="1">
      <c r="A7" s="370" t="s">
        <v>511</v>
      </c>
      <c r="B7" s="368" t="s">
        <v>512</v>
      </c>
      <c r="C7" s="371">
        <v>102911882</v>
      </c>
      <c r="D7" s="371">
        <v>117040222</v>
      </c>
      <c r="E7" s="288">
        <v>131380203</v>
      </c>
    </row>
    <row r="8" spans="1:5" ht="13.5" thickBot="1">
      <c r="A8" s="370" t="s">
        <v>493</v>
      </c>
      <c r="B8" s="368" t="s">
        <v>512</v>
      </c>
      <c r="C8" s="371">
        <v>7768811</v>
      </c>
      <c r="D8" s="371">
        <v>8043226</v>
      </c>
      <c r="E8" s="371">
        <v>12597502</v>
      </c>
    </row>
    <row r="9" spans="1:5" ht="13.5" thickBot="1">
      <c r="A9" s="370" t="s">
        <v>697</v>
      </c>
      <c r="B9" s="368" t="s">
        <v>512</v>
      </c>
      <c r="C9" s="371">
        <v>7469056</v>
      </c>
      <c r="D9" s="371">
        <v>7601153</v>
      </c>
      <c r="E9" s="371">
        <v>11881766</v>
      </c>
    </row>
    <row r="10" spans="1:5" ht="26.25" thickBot="1">
      <c r="A10" s="370" t="s">
        <v>698</v>
      </c>
      <c r="B10" s="368" t="s">
        <v>491</v>
      </c>
      <c r="C10" s="372">
        <f aca="true" t="shared" si="0" ref="C10:E11">+C8/C7*100</f>
        <v>7.548993225097175</v>
      </c>
      <c r="D10" s="372">
        <f t="shared" si="0"/>
        <v>6.8721896306724375</v>
      </c>
      <c r="E10" s="372">
        <f t="shared" si="0"/>
        <v>9.588584666747698</v>
      </c>
    </row>
    <row r="11" spans="1:5" ht="26.25" thickBot="1">
      <c r="A11" s="370" t="s">
        <v>699</v>
      </c>
      <c r="B11" s="368" t="s">
        <v>491</v>
      </c>
      <c r="C11" s="372">
        <f t="shared" si="0"/>
        <v>96.14155885630376</v>
      </c>
      <c r="D11" s="372">
        <f t="shared" si="0"/>
        <v>94.50378492410881</v>
      </c>
      <c r="E11" s="372">
        <f t="shared" si="0"/>
        <v>94.31842916159093</v>
      </c>
    </row>
    <row r="12" spans="1:5" ht="22.5" customHeight="1" thickBot="1">
      <c r="A12" s="367" t="s">
        <v>472</v>
      </c>
      <c r="B12" s="368"/>
      <c r="C12" s="373"/>
      <c r="D12" s="373"/>
      <c r="E12" s="373"/>
    </row>
    <row r="13" spans="1:5" ht="13.5" thickBot="1">
      <c r="A13" s="370" t="s">
        <v>700</v>
      </c>
      <c r="B13" s="368" t="s">
        <v>512</v>
      </c>
      <c r="C13" s="371">
        <v>45813191</v>
      </c>
      <c r="D13" s="371">
        <v>51724275</v>
      </c>
      <c r="E13" s="288">
        <v>57003129</v>
      </c>
    </row>
    <row r="14" spans="1:5" ht="13.5" thickBot="1">
      <c r="A14" s="370" t="s">
        <v>493</v>
      </c>
      <c r="B14" s="368" t="s">
        <v>512</v>
      </c>
      <c r="C14" s="371">
        <v>3357644</v>
      </c>
      <c r="D14" s="371">
        <v>3480062</v>
      </c>
      <c r="E14" s="371">
        <v>7655360</v>
      </c>
    </row>
    <row r="15" spans="1:5" ht="13.5" thickBot="1">
      <c r="A15" s="370" t="s">
        <v>701</v>
      </c>
      <c r="B15" s="368" t="s">
        <v>512</v>
      </c>
      <c r="C15" s="371">
        <v>3313300</v>
      </c>
      <c r="D15" s="371">
        <v>3390600</v>
      </c>
      <c r="E15" s="371">
        <v>7547726</v>
      </c>
    </row>
    <row r="16" spans="1:5" ht="26.25" thickBot="1">
      <c r="A16" s="370" t="s">
        <v>702</v>
      </c>
      <c r="B16" s="368" t="s">
        <v>491</v>
      </c>
      <c r="C16" s="372">
        <f aca="true" t="shared" si="1" ref="C16:E17">+C14/C13*100</f>
        <v>7.328989591665859</v>
      </c>
      <c r="D16" s="372">
        <f t="shared" si="1"/>
        <v>6.728102037196268</v>
      </c>
      <c r="E16" s="372">
        <f t="shared" si="1"/>
        <v>13.42971891946493</v>
      </c>
    </row>
    <row r="17" spans="1:5" ht="26.25" thickBot="1">
      <c r="A17" s="370" t="s">
        <v>703</v>
      </c>
      <c r="B17" s="368" t="s">
        <v>491</v>
      </c>
      <c r="C17" s="372">
        <f t="shared" si="1"/>
        <v>98.67931204141952</v>
      </c>
      <c r="D17" s="372">
        <f t="shared" si="1"/>
        <v>97.42929867341445</v>
      </c>
      <c r="E17" s="372">
        <f t="shared" si="1"/>
        <v>98.59400472348786</v>
      </c>
    </row>
    <row r="18" spans="1:5" ht="19.5" customHeight="1" thickBot="1">
      <c r="A18" s="367" t="s">
        <v>475</v>
      </c>
      <c r="B18" s="368"/>
      <c r="C18" s="373"/>
      <c r="D18" s="373"/>
      <c r="E18" s="373"/>
    </row>
    <row r="19" spans="1:5" ht="13.5" thickBot="1">
      <c r="A19" s="370" t="s">
        <v>700</v>
      </c>
      <c r="B19" s="368" t="s">
        <v>512</v>
      </c>
      <c r="C19" s="371">
        <v>13762684</v>
      </c>
      <c r="D19" s="371">
        <v>14844238</v>
      </c>
      <c r="E19" s="288">
        <v>16154756</v>
      </c>
    </row>
    <row r="20" spans="1:5" ht="13.5" thickBot="1">
      <c r="A20" s="370" t="s">
        <v>493</v>
      </c>
      <c r="B20" s="368" t="s">
        <v>512</v>
      </c>
      <c r="C20" s="371">
        <v>139617</v>
      </c>
      <c r="D20" s="371">
        <v>175515</v>
      </c>
      <c r="E20" s="371">
        <v>188618</v>
      </c>
    </row>
    <row r="21" spans="1:5" ht="13.5" thickBot="1">
      <c r="A21" s="370" t="s">
        <v>701</v>
      </c>
      <c r="B21" s="368" t="s">
        <v>512</v>
      </c>
      <c r="C21" s="371">
        <v>60213</v>
      </c>
      <c r="D21" s="371">
        <v>70266</v>
      </c>
      <c r="E21" s="371">
        <v>74142</v>
      </c>
    </row>
    <row r="22" spans="1:5" ht="26.25" thickBot="1">
      <c r="A22" s="370" t="s">
        <v>704</v>
      </c>
      <c r="B22" s="368" t="s">
        <v>491</v>
      </c>
      <c r="C22" s="372">
        <f aca="true" t="shared" si="2" ref="C22:E23">+C20/C19*100</f>
        <v>1.0144605514447618</v>
      </c>
      <c r="D22" s="372">
        <f t="shared" si="2"/>
        <v>1.1823779704960269</v>
      </c>
      <c r="E22" s="372">
        <f t="shared" si="2"/>
        <v>1.1675694761344584</v>
      </c>
    </row>
    <row r="23" spans="1:5" ht="26.25" thickBot="1">
      <c r="A23" s="370" t="s">
        <v>705</v>
      </c>
      <c r="B23" s="368" t="s">
        <v>491</v>
      </c>
      <c r="C23" s="372">
        <f t="shared" si="2"/>
        <v>43.127269601839316</v>
      </c>
      <c r="D23" s="372">
        <f t="shared" si="2"/>
        <v>40.03418511238356</v>
      </c>
      <c r="E23" s="372">
        <f t="shared" si="2"/>
        <v>39.308019383091754</v>
      </c>
    </row>
    <row r="24" spans="1:5" ht="21.75" customHeight="1" thickBot="1">
      <c r="A24" s="367" t="s">
        <v>473</v>
      </c>
      <c r="B24" s="368"/>
      <c r="C24" s="373"/>
      <c r="D24" s="373"/>
      <c r="E24" s="373"/>
    </row>
    <row r="25" spans="1:5" ht="13.5" thickBot="1">
      <c r="A25" s="370" t="s">
        <v>700</v>
      </c>
      <c r="B25" s="368" t="s">
        <v>512</v>
      </c>
      <c r="C25" s="371">
        <v>36269800</v>
      </c>
      <c r="D25" s="371">
        <v>40985861</v>
      </c>
      <c r="E25" s="288">
        <v>46873425</v>
      </c>
    </row>
    <row r="26" spans="1:5" ht="13.5" thickBot="1">
      <c r="A26" s="370" t="s">
        <v>493</v>
      </c>
      <c r="B26" s="368" t="s">
        <v>512</v>
      </c>
      <c r="C26" s="371">
        <v>4133019</v>
      </c>
      <c r="D26" s="371">
        <v>4176654</v>
      </c>
      <c r="E26" s="371">
        <v>4379371</v>
      </c>
    </row>
    <row r="27" spans="1:5" ht="13.5" thickBot="1">
      <c r="A27" s="370" t="s">
        <v>701</v>
      </c>
      <c r="B27" s="368" t="s">
        <v>512</v>
      </c>
      <c r="C27" s="371">
        <v>4033430</v>
      </c>
      <c r="D27" s="371">
        <v>4080820</v>
      </c>
      <c r="E27" s="371">
        <v>4201364</v>
      </c>
    </row>
    <row r="28" spans="1:5" ht="26.25" thickBot="1">
      <c r="A28" s="370" t="s">
        <v>702</v>
      </c>
      <c r="B28" s="368" t="s">
        <v>491</v>
      </c>
      <c r="C28" s="372">
        <f aca="true" t="shared" si="3" ref="C28:E29">+C26/C25*100</f>
        <v>11.395207583168366</v>
      </c>
      <c r="D28" s="372">
        <f t="shared" si="3"/>
        <v>10.190475198264103</v>
      </c>
      <c r="E28" s="372">
        <f t="shared" si="3"/>
        <v>9.342972057194455</v>
      </c>
    </row>
    <row r="29" spans="1:5" ht="26.25" thickBot="1">
      <c r="A29" s="370" t="s">
        <v>703</v>
      </c>
      <c r="B29" s="368" t="s">
        <v>491</v>
      </c>
      <c r="C29" s="372">
        <f t="shared" si="3"/>
        <v>97.59040546389939</v>
      </c>
      <c r="D29" s="372">
        <f t="shared" si="3"/>
        <v>97.7054838633988</v>
      </c>
      <c r="E29" s="372">
        <f t="shared" si="3"/>
        <v>95.9353295256328</v>
      </c>
    </row>
    <row r="30" spans="1:5" ht="24.75" customHeight="1" thickBot="1">
      <c r="A30" s="367" t="s">
        <v>706</v>
      </c>
      <c r="B30" s="368"/>
      <c r="C30" s="373"/>
      <c r="D30" s="373"/>
      <c r="E30" s="373"/>
    </row>
    <row r="31" spans="1:5" ht="13.5" thickBot="1">
      <c r="A31" s="370" t="s">
        <v>700</v>
      </c>
      <c r="B31" s="368" t="s">
        <v>512</v>
      </c>
      <c r="C31" s="371">
        <v>7066206</v>
      </c>
      <c r="D31" s="371">
        <v>9485847</v>
      </c>
      <c r="E31" s="288">
        <v>11348892</v>
      </c>
    </row>
    <row r="32" spans="1:5" ht="13.5" thickBot="1">
      <c r="A32" s="370" t="s">
        <v>493</v>
      </c>
      <c r="B32" s="368" t="s">
        <v>512</v>
      </c>
      <c r="C32" s="371">
        <v>138531</v>
      </c>
      <c r="D32" s="371">
        <v>210996</v>
      </c>
      <c r="E32" s="371">
        <v>374153</v>
      </c>
    </row>
    <row r="33" spans="1:5" ht="13.5" thickBot="1">
      <c r="A33" s="370" t="s">
        <v>701</v>
      </c>
      <c r="B33" s="368" t="s">
        <v>512</v>
      </c>
      <c r="C33" s="371">
        <v>62114</v>
      </c>
      <c r="D33" s="371">
        <v>59466</v>
      </c>
      <c r="E33" s="371">
        <v>58534</v>
      </c>
    </row>
    <row r="34" spans="1:5" ht="26.25" thickBot="1">
      <c r="A34" s="370" t="s">
        <v>702</v>
      </c>
      <c r="B34" s="368" t="s">
        <v>491</v>
      </c>
      <c r="C34" s="372">
        <f aca="true" t="shared" si="4" ref="C34:E35">+C32/C31*100</f>
        <v>1.9604721402121592</v>
      </c>
      <c r="D34" s="372">
        <f t="shared" si="4"/>
        <v>2.2243243012458453</v>
      </c>
      <c r="E34" s="372">
        <f t="shared" si="4"/>
        <v>3.296824042382287</v>
      </c>
    </row>
    <row r="35" spans="1:5" ht="26.25" thickBot="1">
      <c r="A35" s="370" t="s">
        <v>705</v>
      </c>
      <c r="B35" s="368" t="s">
        <v>491</v>
      </c>
      <c r="C35" s="372">
        <f t="shared" si="4"/>
        <v>44.83761757296201</v>
      </c>
      <c r="D35" s="372">
        <f t="shared" si="4"/>
        <v>28.183472672467722</v>
      </c>
      <c r="E35" s="372">
        <f t="shared" si="4"/>
        <v>15.644402156337115</v>
      </c>
    </row>
    <row r="36" spans="1:5" ht="32.25" customHeight="1">
      <c r="A36" s="501" t="s">
        <v>707</v>
      </c>
      <c r="B36" s="501"/>
      <c r="C36" s="501"/>
      <c r="D36" s="501"/>
      <c r="E36" s="501"/>
    </row>
    <row r="37" ht="15.75">
      <c r="A37" s="374"/>
    </row>
  </sheetData>
  <mergeCells count="2">
    <mergeCell ref="A36:E36"/>
    <mergeCell ref="A3:E3"/>
  </mergeCells>
  <printOptions horizontalCentered="1"/>
  <pageMargins left="0.8661417322834646" right="0.7874015748031497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.140625" style="64" bestFit="1" customWidth="1"/>
    <col min="2" max="2" width="19.7109375" style="64" customWidth="1"/>
    <col min="3" max="3" width="16.140625" style="64" customWidth="1"/>
    <col min="4" max="4" width="15.421875" style="64" bestFit="1" customWidth="1"/>
    <col min="5" max="5" width="13.8515625" style="64" bestFit="1" customWidth="1"/>
    <col min="6" max="6" width="15.8515625" style="64" customWidth="1"/>
    <col min="7" max="7" width="14.140625" style="64" customWidth="1"/>
    <col min="8" max="16384" width="9.140625" style="64" customWidth="1"/>
  </cols>
  <sheetData>
    <row r="1" spans="1:11" ht="15.75">
      <c r="A1" s="505" t="s">
        <v>688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2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2.75">
      <c r="A3" s="503" t="s">
        <v>479</v>
      </c>
      <c r="B3" s="503" t="s">
        <v>480</v>
      </c>
      <c r="C3" s="503" t="s">
        <v>493</v>
      </c>
      <c r="D3" s="342" t="s">
        <v>481</v>
      </c>
      <c r="E3" s="342"/>
      <c r="F3" s="342"/>
      <c r="G3" s="342"/>
      <c r="H3" s="506" t="s">
        <v>482</v>
      </c>
      <c r="I3" s="506" t="s">
        <v>483</v>
      </c>
      <c r="J3" s="506" t="s">
        <v>484</v>
      </c>
      <c r="K3" s="506" t="s">
        <v>485</v>
      </c>
    </row>
    <row r="4" spans="1:11" ht="27.75" customHeight="1">
      <c r="A4" s="503"/>
      <c r="B4" s="503"/>
      <c r="C4" s="503" t="s">
        <v>486</v>
      </c>
      <c r="D4" s="503" t="s">
        <v>487</v>
      </c>
      <c r="E4" s="503" t="s">
        <v>488</v>
      </c>
      <c r="F4" s="503" t="s">
        <v>489</v>
      </c>
      <c r="G4" s="503" t="s">
        <v>490</v>
      </c>
      <c r="H4" s="506"/>
      <c r="I4" s="506" t="s">
        <v>483</v>
      </c>
      <c r="J4" s="506" t="s">
        <v>484</v>
      </c>
      <c r="K4" s="506" t="s">
        <v>485</v>
      </c>
    </row>
    <row r="5" spans="1:11" ht="12.75">
      <c r="A5" s="503"/>
      <c r="B5" s="503"/>
      <c r="C5" s="503"/>
      <c r="D5" s="503"/>
      <c r="E5" s="503" t="s">
        <v>488</v>
      </c>
      <c r="F5" s="503" t="s">
        <v>489</v>
      </c>
      <c r="G5" s="503" t="s">
        <v>490</v>
      </c>
      <c r="H5" s="504" t="s">
        <v>491</v>
      </c>
      <c r="I5" s="504"/>
      <c r="J5" s="504"/>
      <c r="K5" s="504"/>
    </row>
    <row r="6" spans="1:11" ht="12.75">
      <c r="A6" s="343">
        <v>1</v>
      </c>
      <c r="B6" s="343">
        <v>2</v>
      </c>
      <c r="C6" s="343">
        <v>3</v>
      </c>
      <c r="D6" s="343">
        <v>4</v>
      </c>
      <c r="E6" s="343">
        <v>5</v>
      </c>
      <c r="F6" s="343">
        <v>6</v>
      </c>
      <c r="G6" s="343">
        <v>7</v>
      </c>
      <c r="H6" s="343">
        <v>8</v>
      </c>
      <c r="I6" s="343">
        <v>9</v>
      </c>
      <c r="J6" s="343">
        <v>10</v>
      </c>
      <c r="K6" s="343">
        <v>11</v>
      </c>
    </row>
    <row r="7" spans="1:11" ht="12.75">
      <c r="A7" s="504" t="s">
        <v>492</v>
      </c>
      <c r="B7" s="504"/>
      <c r="C7" s="344">
        <f>SUM(D7:G7)</f>
        <v>12597501983.68</v>
      </c>
      <c r="D7" s="344">
        <f>SUM(D8:D23)</f>
        <v>7655359883.830001</v>
      </c>
      <c r="E7" s="344">
        <f>SUM(E8:E23)</f>
        <v>188617707.00999996</v>
      </c>
      <c r="F7" s="344">
        <f>SUM(F8:F23)</f>
        <v>4379371276.61</v>
      </c>
      <c r="G7" s="344">
        <f>SUM(G8:G23)</f>
        <v>374153116.22999996</v>
      </c>
      <c r="H7" s="345">
        <f>D7/C7*100</f>
        <v>60.768872223616086</v>
      </c>
      <c r="I7" s="345">
        <f aca="true" t="shared" si="0" ref="I7:I23">E7/C7*100</f>
        <v>1.4972627688755535</v>
      </c>
      <c r="J7" s="346">
        <f aca="true" t="shared" si="1" ref="J7:J23">F7/C7*100</f>
        <v>34.76380700144722</v>
      </c>
      <c r="K7" s="346">
        <f aca="true" t="shared" si="2" ref="K7:K23">G7/C7*100</f>
        <v>2.9700580060611497</v>
      </c>
    </row>
    <row r="8" spans="1:11" ht="12.75">
      <c r="A8" s="347" t="s">
        <v>13</v>
      </c>
      <c r="B8" s="348" t="s">
        <v>14</v>
      </c>
      <c r="C8" s="349">
        <f aca="true" t="shared" si="3" ref="C8:C23">SUM(D8:G8)</f>
        <v>927422883.15</v>
      </c>
      <c r="D8" s="243">
        <v>533869983.28000003</v>
      </c>
      <c r="E8" s="243">
        <v>41011748.31</v>
      </c>
      <c r="F8" s="243">
        <v>325897310.39</v>
      </c>
      <c r="G8" s="350">
        <v>26643841.17</v>
      </c>
      <c r="H8" s="79">
        <f aca="true" t="shared" si="4" ref="H8:H23">D8/C8*100</f>
        <v>57.56489223844746</v>
      </c>
      <c r="I8" s="79">
        <f t="shared" si="0"/>
        <v>4.422119515824673</v>
      </c>
      <c r="J8" s="80">
        <f t="shared" si="1"/>
        <v>35.140098040614106</v>
      </c>
      <c r="K8" s="80">
        <f t="shared" si="2"/>
        <v>2.8728902051137624</v>
      </c>
    </row>
    <row r="9" spans="1:11" ht="12.75">
      <c r="A9" s="347" t="s">
        <v>15</v>
      </c>
      <c r="B9" s="348" t="s">
        <v>16</v>
      </c>
      <c r="C9" s="349">
        <f t="shared" si="3"/>
        <v>275295997.42999995</v>
      </c>
      <c r="D9" s="243">
        <v>136111529.78999996</v>
      </c>
      <c r="E9" s="243">
        <v>5715042.899999999</v>
      </c>
      <c r="F9" s="243">
        <v>126592749.9</v>
      </c>
      <c r="G9" s="350">
        <v>6876674.84</v>
      </c>
      <c r="H9" s="79">
        <f t="shared" si="4"/>
        <v>49.44188475700933</v>
      </c>
      <c r="I9" s="79">
        <f t="shared" si="0"/>
        <v>2.075962946556524</v>
      </c>
      <c r="J9" s="80">
        <f t="shared" si="1"/>
        <v>45.98423191103205</v>
      </c>
      <c r="K9" s="80">
        <f t="shared" si="2"/>
        <v>2.497920385402096</v>
      </c>
    </row>
    <row r="10" spans="1:11" ht="12.75">
      <c r="A10" s="347" t="s">
        <v>17</v>
      </c>
      <c r="B10" s="348" t="s">
        <v>18</v>
      </c>
      <c r="C10" s="349">
        <f t="shared" si="3"/>
        <v>353787986.5900001</v>
      </c>
      <c r="D10" s="243">
        <v>162745671.83000004</v>
      </c>
      <c r="E10" s="243">
        <v>23970438.58</v>
      </c>
      <c r="F10" s="243">
        <v>162642204.13000003</v>
      </c>
      <c r="G10" s="350">
        <v>4429672.05</v>
      </c>
      <c r="H10" s="79">
        <f t="shared" si="4"/>
        <v>46.000903930806366</v>
      </c>
      <c r="I10" s="79">
        <f t="shared" si="0"/>
        <v>6.775368155103299</v>
      </c>
      <c r="J10" s="80">
        <f t="shared" si="1"/>
        <v>45.971658251495064</v>
      </c>
      <c r="K10" s="80">
        <f t="shared" si="2"/>
        <v>1.2520696625952663</v>
      </c>
    </row>
    <row r="11" spans="1:11" ht="12.75">
      <c r="A11" s="347" t="s">
        <v>19</v>
      </c>
      <c r="B11" s="348" t="s">
        <v>20</v>
      </c>
      <c r="C11" s="349">
        <f t="shared" si="3"/>
        <v>404523802.22</v>
      </c>
      <c r="D11" s="243">
        <v>182068368.17</v>
      </c>
      <c r="E11" s="243">
        <v>16742160.62</v>
      </c>
      <c r="F11" s="243">
        <v>96869756.15</v>
      </c>
      <c r="G11" s="350">
        <v>108843517.28</v>
      </c>
      <c r="H11" s="79">
        <f t="shared" si="4"/>
        <v>45.00807299121109</v>
      </c>
      <c r="I11" s="79">
        <f t="shared" si="0"/>
        <v>4.138733129699692</v>
      </c>
      <c r="J11" s="80">
        <f t="shared" si="1"/>
        <v>23.946614666030815</v>
      </c>
      <c r="K11" s="80">
        <f t="shared" si="2"/>
        <v>26.9065792130584</v>
      </c>
    </row>
    <row r="12" spans="1:11" ht="12.75">
      <c r="A12" s="347" t="s">
        <v>21</v>
      </c>
      <c r="B12" s="348" t="s">
        <v>22</v>
      </c>
      <c r="C12" s="349">
        <f t="shared" si="3"/>
        <v>445261968.96000004</v>
      </c>
      <c r="D12" s="243">
        <v>207651025.42999998</v>
      </c>
      <c r="E12" s="243">
        <v>2709437.52</v>
      </c>
      <c r="F12" s="243">
        <v>232507250.65</v>
      </c>
      <c r="G12" s="350">
        <v>2394255.36</v>
      </c>
      <c r="H12" s="79">
        <f t="shared" si="4"/>
        <v>46.63569761302795</v>
      </c>
      <c r="I12" s="79">
        <f t="shared" si="0"/>
        <v>0.6085041411303199</v>
      </c>
      <c r="J12" s="80">
        <f t="shared" si="1"/>
        <v>52.21807988521186</v>
      </c>
      <c r="K12" s="80">
        <f t="shared" si="2"/>
        <v>0.5377183606298716</v>
      </c>
    </row>
    <row r="13" spans="1:11" ht="12.75">
      <c r="A13" s="347" t="s">
        <v>23</v>
      </c>
      <c r="B13" s="348" t="s">
        <v>24</v>
      </c>
      <c r="C13" s="349">
        <f t="shared" si="3"/>
        <v>487538034.1699999</v>
      </c>
      <c r="D13" s="243">
        <v>194798052.3399999</v>
      </c>
      <c r="E13" s="243">
        <v>8002688.460000001</v>
      </c>
      <c r="F13" s="243">
        <v>257748729.35999998</v>
      </c>
      <c r="G13" s="350">
        <v>26988564.01</v>
      </c>
      <c r="H13" s="79">
        <f t="shared" si="4"/>
        <v>39.95545756171213</v>
      </c>
      <c r="I13" s="79">
        <f t="shared" si="0"/>
        <v>1.6414490560975472</v>
      </c>
      <c r="J13" s="80">
        <f t="shared" si="1"/>
        <v>52.86740957529591</v>
      </c>
      <c r="K13" s="80">
        <f t="shared" si="2"/>
        <v>5.535683806894406</v>
      </c>
    </row>
    <row r="14" spans="1:11" ht="12.75">
      <c r="A14" s="347" t="s">
        <v>25</v>
      </c>
      <c r="B14" s="348" t="s">
        <v>26</v>
      </c>
      <c r="C14" s="349">
        <f t="shared" si="3"/>
        <v>4306738237.82</v>
      </c>
      <c r="D14" s="243">
        <v>3379952567.1800003</v>
      </c>
      <c r="E14" s="243">
        <v>11454012.520000001</v>
      </c>
      <c r="F14" s="243">
        <v>859591480.87</v>
      </c>
      <c r="G14" s="350">
        <v>55740177.25</v>
      </c>
      <c r="H14" s="79">
        <f t="shared" si="4"/>
        <v>78.4805665108376</v>
      </c>
      <c r="I14" s="79">
        <f t="shared" si="0"/>
        <v>0.2659556232003047</v>
      </c>
      <c r="J14" s="80">
        <f t="shared" si="1"/>
        <v>19.959222813251614</v>
      </c>
      <c r="K14" s="80">
        <f t="shared" si="2"/>
        <v>1.2942550527104886</v>
      </c>
    </row>
    <row r="15" spans="1:11" ht="12.75">
      <c r="A15" s="347" t="s">
        <v>27</v>
      </c>
      <c r="B15" s="348" t="s">
        <v>28</v>
      </c>
      <c r="C15" s="349">
        <f t="shared" si="3"/>
        <v>235379195.74000004</v>
      </c>
      <c r="D15" s="243">
        <v>164933812.81000003</v>
      </c>
      <c r="E15" s="243">
        <v>8866867.680000002</v>
      </c>
      <c r="F15" s="243">
        <v>59215312.1</v>
      </c>
      <c r="G15" s="350">
        <v>2363203.15</v>
      </c>
      <c r="H15" s="79">
        <f t="shared" si="4"/>
        <v>70.07153384625632</v>
      </c>
      <c r="I15" s="79">
        <f t="shared" si="0"/>
        <v>3.767056664512673</v>
      </c>
      <c r="J15" s="80">
        <f t="shared" si="1"/>
        <v>25.157411178092925</v>
      </c>
      <c r="K15" s="80">
        <f t="shared" si="2"/>
        <v>1.0039983111380817</v>
      </c>
    </row>
    <row r="16" spans="1:11" ht="12.75">
      <c r="A16" s="347" t="s">
        <v>29</v>
      </c>
      <c r="B16" s="348" t="s">
        <v>30</v>
      </c>
      <c r="C16" s="349">
        <f t="shared" si="3"/>
        <v>1028194215.73</v>
      </c>
      <c r="D16" s="243">
        <v>971728846.4499999</v>
      </c>
      <c r="E16" s="243">
        <v>1791892.46</v>
      </c>
      <c r="F16" s="243">
        <v>35848612.1</v>
      </c>
      <c r="G16" s="350">
        <v>18824864.72</v>
      </c>
      <c r="H16" s="79">
        <f t="shared" si="4"/>
        <v>94.50829732202776</v>
      </c>
      <c r="I16" s="79">
        <f t="shared" si="0"/>
        <v>0.17427567988483453</v>
      </c>
      <c r="J16" s="80">
        <f t="shared" si="1"/>
        <v>3.4865603746416824</v>
      </c>
      <c r="K16" s="80">
        <f t="shared" si="2"/>
        <v>1.8308666234457145</v>
      </c>
    </row>
    <row r="17" spans="1:11" ht="12.75">
      <c r="A17" s="347" t="s">
        <v>31</v>
      </c>
      <c r="B17" s="348" t="s">
        <v>32</v>
      </c>
      <c r="C17" s="349">
        <f t="shared" si="3"/>
        <v>155034209.87</v>
      </c>
      <c r="D17" s="243">
        <v>55353850.94</v>
      </c>
      <c r="E17" s="243">
        <v>2763129.96</v>
      </c>
      <c r="F17" s="243">
        <v>96075625.12</v>
      </c>
      <c r="G17" s="350">
        <v>841603.85</v>
      </c>
      <c r="H17" s="79">
        <f t="shared" si="4"/>
        <v>35.70428164623509</v>
      </c>
      <c r="I17" s="79">
        <f t="shared" si="0"/>
        <v>1.7822711273318013</v>
      </c>
      <c r="J17" s="80">
        <f t="shared" si="1"/>
        <v>61.970596812511104</v>
      </c>
      <c r="K17" s="80">
        <f t="shared" si="2"/>
        <v>0.5428504139220018</v>
      </c>
    </row>
    <row r="18" spans="1:11" ht="12.75">
      <c r="A18" s="347" t="s">
        <v>33</v>
      </c>
      <c r="B18" s="348" t="s">
        <v>34</v>
      </c>
      <c r="C18" s="349">
        <f t="shared" si="3"/>
        <v>532850254.2900001</v>
      </c>
      <c r="D18" s="243">
        <v>230463036.0100001</v>
      </c>
      <c r="E18" s="243">
        <v>21503819.81</v>
      </c>
      <c r="F18" s="243">
        <v>273538060.65999997</v>
      </c>
      <c r="G18" s="350">
        <v>7345337.81</v>
      </c>
      <c r="H18" s="79">
        <f t="shared" si="4"/>
        <v>43.2509948441485</v>
      </c>
      <c r="I18" s="79">
        <f t="shared" si="0"/>
        <v>4.035621572265722</v>
      </c>
      <c r="J18" s="80">
        <f t="shared" si="1"/>
        <v>51.33488413634664</v>
      </c>
      <c r="K18" s="80">
        <f t="shared" si="2"/>
        <v>1.3784994472391394</v>
      </c>
    </row>
    <row r="19" spans="1:11" ht="12.75">
      <c r="A19" s="347" t="s">
        <v>35</v>
      </c>
      <c r="B19" s="348" t="s">
        <v>36</v>
      </c>
      <c r="C19" s="349">
        <f t="shared" si="3"/>
        <v>1541788084.4899998</v>
      </c>
      <c r="D19" s="243">
        <v>328661305.31999993</v>
      </c>
      <c r="E19" s="243">
        <v>7001992.5200000005</v>
      </c>
      <c r="F19" s="243">
        <v>1136935580.6399999</v>
      </c>
      <c r="G19" s="350">
        <v>69189206.01</v>
      </c>
      <c r="H19" s="79">
        <f t="shared" si="4"/>
        <v>21.31689229059752</v>
      </c>
      <c r="I19" s="79">
        <f t="shared" si="0"/>
        <v>0.45414753106722533</v>
      </c>
      <c r="J19" s="80">
        <f t="shared" si="1"/>
        <v>73.74136511218927</v>
      </c>
      <c r="K19" s="80">
        <f t="shared" si="2"/>
        <v>4.487595066145991</v>
      </c>
    </row>
    <row r="20" spans="1:11" ht="12.75">
      <c r="A20" s="347" t="s">
        <v>37</v>
      </c>
      <c r="B20" s="348" t="s">
        <v>38</v>
      </c>
      <c r="C20" s="349">
        <f t="shared" si="3"/>
        <v>506805137.05000013</v>
      </c>
      <c r="D20" s="243">
        <v>388803692.0600001</v>
      </c>
      <c r="E20" s="243">
        <v>809896.29</v>
      </c>
      <c r="F20" s="243">
        <v>86584827.55</v>
      </c>
      <c r="G20" s="350">
        <v>30606721.15</v>
      </c>
      <c r="H20" s="79">
        <f t="shared" si="4"/>
        <v>76.71660439812032</v>
      </c>
      <c r="I20" s="79">
        <f t="shared" si="0"/>
        <v>0.15980427797441557</v>
      </c>
      <c r="J20" s="80">
        <f t="shared" si="1"/>
        <v>17.084441577287674</v>
      </c>
      <c r="K20" s="80">
        <f t="shared" si="2"/>
        <v>6.039149746617587</v>
      </c>
    </row>
    <row r="21" spans="1:11" ht="12.75">
      <c r="A21" s="347" t="s">
        <v>39</v>
      </c>
      <c r="B21" s="348" t="s">
        <v>40</v>
      </c>
      <c r="C21" s="349">
        <f t="shared" si="3"/>
        <v>279529978.6</v>
      </c>
      <c r="D21" s="243">
        <v>180251299.56000003</v>
      </c>
      <c r="E21" s="243">
        <v>10531170.22</v>
      </c>
      <c r="F21" s="243">
        <v>87973931.61</v>
      </c>
      <c r="G21" s="350">
        <v>773577.21</v>
      </c>
      <c r="H21" s="79">
        <f t="shared" si="4"/>
        <v>64.48370956946083</v>
      </c>
      <c r="I21" s="79">
        <f t="shared" si="0"/>
        <v>3.7674564541321796</v>
      </c>
      <c r="J21" s="80">
        <f t="shared" si="1"/>
        <v>31.47209184882755</v>
      </c>
      <c r="K21" s="80">
        <f t="shared" si="2"/>
        <v>0.2767421275794424</v>
      </c>
    </row>
    <row r="22" spans="1:11" ht="12.75">
      <c r="A22" s="347" t="s">
        <v>41</v>
      </c>
      <c r="B22" s="348" t="s">
        <v>42</v>
      </c>
      <c r="C22" s="349">
        <f t="shared" si="3"/>
        <v>547521413.94</v>
      </c>
      <c r="D22" s="243">
        <v>297370591.96000004</v>
      </c>
      <c r="E22" s="243">
        <v>14819819.460000006</v>
      </c>
      <c r="F22" s="243">
        <v>226521070.26999998</v>
      </c>
      <c r="G22" s="350">
        <v>8809932.25</v>
      </c>
      <c r="H22" s="79">
        <f t="shared" si="4"/>
        <v>54.31213910340086</v>
      </c>
      <c r="I22" s="79">
        <f t="shared" si="0"/>
        <v>2.706710474272707</v>
      </c>
      <c r="J22" s="80">
        <f t="shared" si="1"/>
        <v>41.37209331045876</v>
      </c>
      <c r="K22" s="80">
        <f t="shared" si="2"/>
        <v>1.6090571118676709</v>
      </c>
    </row>
    <row r="23" spans="1:11" ht="12.75">
      <c r="A23" s="347" t="s">
        <v>43</v>
      </c>
      <c r="B23" s="348" t="s">
        <v>44</v>
      </c>
      <c r="C23" s="349">
        <f t="shared" si="3"/>
        <v>569830583.63</v>
      </c>
      <c r="D23" s="243">
        <v>240596250.7</v>
      </c>
      <c r="E23" s="243">
        <v>10923589.7</v>
      </c>
      <c r="F23" s="243">
        <v>314828775.11</v>
      </c>
      <c r="G23" s="350">
        <v>3481968.12</v>
      </c>
      <c r="H23" s="79">
        <f t="shared" si="4"/>
        <v>42.22241796277873</v>
      </c>
      <c r="I23" s="79">
        <f t="shared" si="0"/>
        <v>1.9169890163517196</v>
      </c>
      <c r="J23" s="80">
        <f t="shared" si="1"/>
        <v>55.24953980259215</v>
      </c>
      <c r="K23" s="80">
        <f t="shared" si="2"/>
        <v>0.611053218277399</v>
      </c>
    </row>
    <row r="24" spans="1:11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</row>
    <row r="25" spans="1:11" ht="12.75">
      <c r="A25" s="352" t="s">
        <v>498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</sheetData>
  <mergeCells count="14">
    <mergeCell ref="A1:K1"/>
    <mergeCell ref="A3:A5"/>
    <mergeCell ref="B3:B5"/>
    <mergeCell ref="C3:C5"/>
    <mergeCell ref="H3:H4"/>
    <mergeCell ref="I3:I4"/>
    <mergeCell ref="J3:J4"/>
    <mergeCell ref="K3:K4"/>
    <mergeCell ref="D4:D5"/>
    <mergeCell ref="E4:E5"/>
    <mergeCell ref="F4:F5"/>
    <mergeCell ref="G4:G5"/>
    <mergeCell ref="H5:K5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0">
      <selection activeCell="N18" sqref="N18"/>
    </sheetView>
  </sheetViews>
  <sheetFormatPr defaultColWidth="9.140625" defaultRowHeight="12.75"/>
  <cols>
    <col min="1" max="1" width="19.57421875" style="0" customWidth="1"/>
    <col min="2" max="2" width="7.00390625" style="0" bestFit="1" customWidth="1"/>
    <col min="3" max="3" width="12.8515625" style="0" customWidth="1"/>
    <col min="4" max="4" width="8.140625" style="0" customWidth="1"/>
    <col min="5" max="9" width="9.00390625" style="0" bestFit="1" customWidth="1"/>
    <col min="10" max="10" width="8.00390625" style="0" customWidth="1"/>
    <col min="11" max="11" width="7.00390625" style="0" bestFit="1" customWidth="1"/>
    <col min="12" max="12" width="7.28125" style="0" customWidth="1"/>
    <col min="13" max="17" width="9.00390625" style="0" bestFit="1" customWidth="1"/>
    <col min="18" max="18" width="8.00390625" style="0" customWidth="1"/>
  </cols>
  <sheetData>
    <row r="1" spans="1:10" ht="30" customHeight="1">
      <c r="A1" s="516" t="s">
        <v>690</v>
      </c>
      <c r="B1" s="516"/>
      <c r="C1" s="516"/>
      <c r="D1" s="516"/>
      <c r="E1" s="516"/>
      <c r="F1" s="516"/>
      <c r="G1" s="516"/>
      <c r="H1" s="516"/>
      <c r="I1" s="516"/>
      <c r="J1" s="516"/>
    </row>
    <row r="5" ht="13.5" thickBot="1"/>
    <row r="6" spans="1:10" ht="13.5" thickBot="1">
      <c r="A6" s="507" t="s">
        <v>463</v>
      </c>
      <c r="B6" s="510">
        <v>2005</v>
      </c>
      <c r="C6" s="511"/>
      <c r="D6" s="511"/>
      <c r="E6" s="511"/>
      <c r="F6" s="511"/>
      <c r="G6" s="511"/>
      <c r="H6" s="511"/>
      <c r="I6" s="511"/>
      <c r="J6" s="512"/>
    </row>
    <row r="7" spans="1:10" ht="13.5" thickBot="1">
      <c r="A7" s="508"/>
      <c r="B7" s="513" t="s">
        <v>464</v>
      </c>
      <c r="C7" s="514"/>
      <c r="D7" s="514"/>
      <c r="E7" s="514"/>
      <c r="F7" s="514"/>
      <c r="G7" s="514"/>
      <c r="H7" s="514"/>
      <c r="I7" s="514"/>
      <c r="J7" s="515"/>
    </row>
    <row r="8" spans="1:10" ht="26.25" thickBot="1">
      <c r="A8" s="509"/>
      <c r="B8" s="208" t="s">
        <v>465</v>
      </c>
      <c r="C8" s="209" t="s">
        <v>478</v>
      </c>
      <c r="D8" s="225" t="s">
        <v>496</v>
      </c>
      <c r="E8" s="226" t="s">
        <v>466</v>
      </c>
      <c r="F8" s="226" t="s">
        <v>467</v>
      </c>
      <c r="G8" s="226" t="s">
        <v>468</v>
      </c>
      <c r="H8" s="226" t="s">
        <v>469</v>
      </c>
      <c r="I8" s="226" t="s">
        <v>470</v>
      </c>
      <c r="J8" s="227" t="s">
        <v>471</v>
      </c>
    </row>
    <row r="9" spans="1:10" ht="12.75">
      <c r="A9" s="210" t="s">
        <v>472</v>
      </c>
      <c r="B9" s="211">
        <v>2413</v>
      </c>
      <c r="C9" s="228">
        <v>2373</v>
      </c>
      <c r="D9" s="229">
        <v>1984</v>
      </c>
      <c r="E9" s="230">
        <v>311</v>
      </c>
      <c r="F9" s="230">
        <v>52</v>
      </c>
      <c r="G9" s="230">
        <v>12</v>
      </c>
      <c r="H9" s="230">
        <v>5</v>
      </c>
      <c r="I9" s="230">
        <v>7</v>
      </c>
      <c r="J9" s="231">
        <v>2</v>
      </c>
    </row>
    <row r="10" spans="1:10" ht="25.5">
      <c r="A10" s="212" t="s">
        <v>473</v>
      </c>
      <c r="B10" s="213">
        <v>65</v>
      </c>
      <c r="C10" s="232">
        <v>65</v>
      </c>
      <c r="D10" s="213">
        <v>35</v>
      </c>
      <c r="E10" s="214">
        <v>23</v>
      </c>
      <c r="F10" s="214">
        <v>5</v>
      </c>
      <c r="G10" s="214">
        <v>1</v>
      </c>
      <c r="H10" s="214">
        <v>1</v>
      </c>
      <c r="I10" s="215" t="s">
        <v>474</v>
      </c>
      <c r="J10" s="217" t="s">
        <v>474</v>
      </c>
    </row>
    <row r="11" spans="1:10" ht="12.75">
      <c r="A11" s="216" t="s">
        <v>475</v>
      </c>
      <c r="B11" s="213">
        <v>314</v>
      </c>
      <c r="C11" s="232">
        <v>302</v>
      </c>
      <c r="D11" s="213">
        <v>297</v>
      </c>
      <c r="E11" s="214">
        <v>4</v>
      </c>
      <c r="F11" s="214">
        <v>1</v>
      </c>
      <c r="G11" s="237" t="s">
        <v>474</v>
      </c>
      <c r="H11" s="237" t="s">
        <v>474</v>
      </c>
      <c r="I11" s="237" t="s">
        <v>474</v>
      </c>
      <c r="J11" s="238" t="s">
        <v>474</v>
      </c>
    </row>
    <row r="12" spans="1:10" ht="26.25" thickBot="1">
      <c r="A12" s="218" t="s">
        <v>476</v>
      </c>
      <c r="B12" s="219">
        <v>16</v>
      </c>
      <c r="C12" s="233">
        <v>16</v>
      </c>
      <c r="D12" s="219">
        <v>16</v>
      </c>
      <c r="E12" s="239" t="s">
        <v>474</v>
      </c>
      <c r="F12" s="239" t="s">
        <v>474</v>
      </c>
      <c r="G12" s="239" t="s">
        <v>474</v>
      </c>
      <c r="H12" s="239" t="s">
        <v>474</v>
      </c>
      <c r="I12" s="239" t="s">
        <v>474</v>
      </c>
      <c r="J12" s="240" t="s">
        <v>474</v>
      </c>
    </row>
    <row r="13" spans="1:10" ht="13.5" thickBot="1">
      <c r="A13" s="220" t="s">
        <v>477</v>
      </c>
      <c r="B13" s="221">
        <f aca="true" t="shared" si="0" ref="B13:J13">SUM(B9:B12)</f>
        <v>2808</v>
      </c>
      <c r="C13" s="222">
        <f t="shared" si="0"/>
        <v>2756</v>
      </c>
      <c r="D13" s="236">
        <f t="shared" si="0"/>
        <v>2332</v>
      </c>
      <c r="E13" s="234">
        <f t="shared" si="0"/>
        <v>338</v>
      </c>
      <c r="F13" s="234">
        <f t="shared" si="0"/>
        <v>58</v>
      </c>
      <c r="G13" s="234">
        <f t="shared" si="0"/>
        <v>13</v>
      </c>
      <c r="H13" s="234">
        <f t="shared" si="0"/>
        <v>6</v>
      </c>
      <c r="I13" s="234">
        <f t="shared" si="0"/>
        <v>7</v>
      </c>
      <c r="J13" s="235">
        <f t="shared" si="0"/>
        <v>2</v>
      </c>
    </row>
    <row r="15" ht="13.5" thickBot="1"/>
    <row r="16" spans="1:10" ht="13.5" thickBot="1">
      <c r="A16" s="507" t="s">
        <v>463</v>
      </c>
      <c r="B16" s="510">
        <v>2006</v>
      </c>
      <c r="C16" s="511"/>
      <c r="D16" s="511"/>
      <c r="E16" s="511"/>
      <c r="F16" s="511"/>
      <c r="G16" s="511"/>
      <c r="H16" s="511"/>
      <c r="I16" s="511"/>
      <c r="J16" s="512"/>
    </row>
    <row r="17" spans="1:10" ht="13.5" thickBot="1">
      <c r="A17" s="508"/>
      <c r="B17" s="513" t="s">
        <v>464</v>
      </c>
      <c r="C17" s="514"/>
      <c r="D17" s="514"/>
      <c r="E17" s="514"/>
      <c r="F17" s="514"/>
      <c r="G17" s="514"/>
      <c r="H17" s="514"/>
      <c r="I17" s="514"/>
      <c r="J17" s="515"/>
    </row>
    <row r="18" spans="1:10" ht="26.25" thickBot="1">
      <c r="A18" s="509"/>
      <c r="B18" s="208" t="s">
        <v>465</v>
      </c>
      <c r="C18" s="209" t="s">
        <v>478</v>
      </c>
      <c r="D18" s="225" t="s">
        <v>496</v>
      </c>
      <c r="E18" s="226" t="s">
        <v>466</v>
      </c>
      <c r="F18" s="226" t="s">
        <v>467</v>
      </c>
      <c r="G18" s="226" t="s">
        <v>468</v>
      </c>
      <c r="H18" s="226" t="s">
        <v>469</v>
      </c>
      <c r="I18" s="226" t="s">
        <v>470</v>
      </c>
      <c r="J18" s="227" t="s">
        <v>471</v>
      </c>
    </row>
    <row r="19" spans="1:10" ht="12.75">
      <c r="A19" s="210" t="s">
        <v>472</v>
      </c>
      <c r="B19" s="211">
        <v>2413</v>
      </c>
      <c r="C19" s="228">
        <v>2402</v>
      </c>
      <c r="D19" s="229">
        <v>2081</v>
      </c>
      <c r="E19" s="230">
        <v>258</v>
      </c>
      <c r="F19" s="230">
        <v>46</v>
      </c>
      <c r="G19" s="230">
        <v>10</v>
      </c>
      <c r="H19" s="230">
        <v>3</v>
      </c>
      <c r="I19" s="230">
        <v>2</v>
      </c>
      <c r="J19" s="231">
        <v>2</v>
      </c>
    </row>
    <row r="20" spans="1:10" ht="25.5">
      <c r="A20" s="212" t="s">
        <v>473</v>
      </c>
      <c r="B20" s="213">
        <v>65</v>
      </c>
      <c r="C20" s="232">
        <v>65</v>
      </c>
      <c r="D20" s="213">
        <v>36</v>
      </c>
      <c r="E20" s="214">
        <v>23</v>
      </c>
      <c r="F20" s="214">
        <v>3</v>
      </c>
      <c r="G20" s="214">
        <v>3</v>
      </c>
      <c r="H20" s="215" t="s">
        <v>474</v>
      </c>
      <c r="I20" s="215" t="s">
        <v>474</v>
      </c>
      <c r="J20" s="217" t="s">
        <v>474</v>
      </c>
    </row>
    <row r="21" spans="1:10" ht="12.75">
      <c r="A21" s="216" t="s">
        <v>475</v>
      </c>
      <c r="B21" s="213">
        <v>314</v>
      </c>
      <c r="C21" s="232">
        <v>305</v>
      </c>
      <c r="D21" s="213">
        <v>298</v>
      </c>
      <c r="E21" s="214">
        <v>5</v>
      </c>
      <c r="F21" s="214">
        <v>1</v>
      </c>
      <c r="G21" s="237" t="s">
        <v>474</v>
      </c>
      <c r="H21" s="242">
        <v>1</v>
      </c>
      <c r="I21" s="237" t="s">
        <v>474</v>
      </c>
      <c r="J21" s="238" t="s">
        <v>474</v>
      </c>
    </row>
    <row r="22" spans="1:10" ht="26.25" thickBot="1">
      <c r="A22" s="218" t="s">
        <v>476</v>
      </c>
      <c r="B22" s="219">
        <v>16</v>
      </c>
      <c r="C22" s="233">
        <v>16</v>
      </c>
      <c r="D22" s="219">
        <v>16</v>
      </c>
      <c r="E22" s="239" t="s">
        <v>474</v>
      </c>
      <c r="F22" s="239" t="s">
        <v>474</v>
      </c>
      <c r="G22" s="239" t="s">
        <v>474</v>
      </c>
      <c r="H22" s="239" t="s">
        <v>474</v>
      </c>
      <c r="I22" s="239" t="s">
        <v>474</v>
      </c>
      <c r="J22" s="240" t="s">
        <v>474</v>
      </c>
    </row>
    <row r="23" spans="1:10" ht="13.5" thickBot="1">
      <c r="A23" s="220" t="s">
        <v>477</v>
      </c>
      <c r="B23" s="221">
        <f aca="true" t="shared" si="1" ref="B23:J23">SUM(B19:B22)</f>
        <v>2808</v>
      </c>
      <c r="C23" s="222">
        <f t="shared" si="1"/>
        <v>2788</v>
      </c>
      <c r="D23" s="236">
        <f t="shared" si="1"/>
        <v>2431</v>
      </c>
      <c r="E23" s="234">
        <f t="shared" si="1"/>
        <v>286</v>
      </c>
      <c r="F23" s="234">
        <f t="shared" si="1"/>
        <v>50</v>
      </c>
      <c r="G23" s="234">
        <f t="shared" si="1"/>
        <v>13</v>
      </c>
      <c r="H23" s="234">
        <f t="shared" si="1"/>
        <v>4</v>
      </c>
      <c r="I23" s="234">
        <f t="shared" si="1"/>
        <v>2</v>
      </c>
      <c r="J23" s="235">
        <f t="shared" si="1"/>
        <v>2</v>
      </c>
    </row>
    <row r="25" ht="13.5" thickBot="1"/>
    <row r="26" spans="1:10" ht="13.5" thickBot="1">
      <c r="A26" s="507" t="s">
        <v>463</v>
      </c>
      <c r="B26" s="510">
        <v>2007</v>
      </c>
      <c r="C26" s="511"/>
      <c r="D26" s="511"/>
      <c r="E26" s="511"/>
      <c r="F26" s="511"/>
      <c r="G26" s="511"/>
      <c r="H26" s="511"/>
      <c r="I26" s="511"/>
      <c r="J26" s="512"/>
    </row>
    <row r="27" spans="1:10" ht="13.5" thickBot="1">
      <c r="A27" s="508"/>
      <c r="B27" s="513" t="s">
        <v>464</v>
      </c>
      <c r="C27" s="514"/>
      <c r="D27" s="514"/>
      <c r="E27" s="514"/>
      <c r="F27" s="514"/>
      <c r="G27" s="514"/>
      <c r="H27" s="514"/>
      <c r="I27" s="514"/>
      <c r="J27" s="515"/>
    </row>
    <row r="28" spans="1:10" ht="26.25" thickBot="1">
      <c r="A28" s="509"/>
      <c r="B28" s="208" t="s">
        <v>465</v>
      </c>
      <c r="C28" s="209" t="s">
        <v>478</v>
      </c>
      <c r="D28" s="225" t="s">
        <v>496</v>
      </c>
      <c r="E28" s="226" t="s">
        <v>466</v>
      </c>
      <c r="F28" s="226" t="s">
        <v>467</v>
      </c>
      <c r="G28" s="226" t="s">
        <v>468</v>
      </c>
      <c r="H28" s="226" t="s">
        <v>469</v>
      </c>
      <c r="I28" s="226" t="s">
        <v>470</v>
      </c>
      <c r="J28" s="227" t="s">
        <v>471</v>
      </c>
    </row>
    <row r="29" spans="1:11" ht="12.75">
      <c r="A29" s="210" t="s">
        <v>472</v>
      </c>
      <c r="B29" s="211">
        <v>2413</v>
      </c>
      <c r="C29" s="228">
        <v>2407</v>
      </c>
      <c r="D29" s="229">
        <v>2138</v>
      </c>
      <c r="E29" s="230">
        <v>220</v>
      </c>
      <c r="F29" s="230">
        <v>34</v>
      </c>
      <c r="G29" s="230">
        <v>5</v>
      </c>
      <c r="H29" s="230">
        <v>4</v>
      </c>
      <c r="I29" s="230">
        <v>1</v>
      </c>
      <c r="J29" s="231">
        <v>5</v>
      </c>
      <c r="K29" s="241" t="s">
        <v>46</v>
      </c>
    </row>
    <row r="30" spans="1:10" ht="25.5">
      <c r="A30" s="212" t="s">
        <v>473</v>
      </c>
      <c r="B30" s="213">
        <v>65</v>
      </c>
      <c r="C30" s="232">
        <v>65</v>
      </c>
      <c r="D30" s="213">
        <v>40</v>
      </c>
      <c r="E30" s="214">
        <v>19</v>
      </c>
      <c r="F30" s="214">
        <v>5</v>
      </c>
      <c r="G30" s="214">
        <v>1</v>
      </c>
      <c r="H30" s="215" t="s">
        <v>474</v>
      </c>
      <c r="I30" s="215" t="s">
        <v>474</v>
      </c>
      <c r="J30" s="217" t="s">
        <v>474</v>
      </c>
    </row>
    <row r="31" spans="1:10" ht="12.75">
      <c r="A31" s="216" t="s">
        <v>475</v>
      </c>
      <c r="B31" s="213">
        <v>314</v>
      </c>
      <c r="C31" s="232">
        <v>306</v>
      </c>
      <c r="D31" s="213">
        <v>297</v>
      </c>
      <c r="E31" s="214">
        <v>5</v>
      </c>
      <c r="F31" s="214">
        <v>3</v>
      </c>
      <c r="G31" s="237" t="s">
        <v>474</v>
      </c>
      <c r="H31" s="237" t="s">
        <v>474</v>
      </c>
      <c r="I31" s="237" t="s">
        <v>474</v>
      </c>
      <c r="J31" s="238" t="s">
        <v>474</v>
      </c>
    </row>
    <row r="32" spans="1:10" ht="26.25" thickBot="1">
      <c r="A32" s="218" t="s">
        <v>476</v>
      </c>
      <c r="B32" s="219">
        <v>16</v>
      </c>
      <c r="C32" s="233">
        <v>16</v>
      </c>
      <c r="D32" s="274">
        <v>15</v>
      </c>
      <c r="E32" s="275" t="s">
        <v>474</v>
      </c>
      <c r="F32" s="275" t="s">
        <v>474</v>
      </c>
      <c r="G32" s="276">
        <v>1</v>
      </c>
      <c r="H32" s="275" t="s">
        <v>474</v>
      </c>
      <c r="I32" s="275" t="s">
        <v>474</v>
      </c>
      <c r="J32" s="277" t="s">
        <v>474</v>
      </c>
    </row>
    <row r="33" spans="1:10" ht="13.5" thickBot="1">
      <c r="A33" s="220" t="s">
        <v>477</v>
      </c>
      <c r="B33" s="221">
        <f aca="true" t="shared" si="2" ref="B33:J33">SUM(B29:B32)</f>
        <v>2808</v>
      </c>
      <c r="C33" s="222">
        <f t="shared" si="2"/>
        <v>2794</v>
      </c>
      <c r="D33" s="221">
        <f t="shared" si="2"/>
        <v>2490</v>
      </c>
      <c r="E33" s="223">
        <f t="shared" si="2"/>
        <v>244</v>
      </c>
      <c r="F33" s="223">
        <f t="shared" si="2"/>
        <v>42</v>
      </c>
      <c r="G33" s="223">
        <f t="shared" si="2"/>
        <v>7</v>
      </c>
      <c r="H33" s="223">
        <f t="shared" si="2"/>
        <v>4</v>
      </c>
      <c r="I33" s="223">
        <f t="shared" si="2"/>
        <v>1</v>
      </c>
      <c r="J33" s="222">
        <f t="shared" si="2"/>
        <v>5</v>
      </c>
    </row>
    <row r="35" ht="12.75">
      <c r="A35" s="224" t="s">
        <v>499</v>
      </c>
    </row>
  </sheetData>
  <mergeCells count="10">
    <mergeCell ref="A1:J1"/>
    <mergeCell ref="A6:A8"/>
    <mergeCell ref="B6:J6"/>
    <mergeCell ref="B7:J7"/>
    <mergeCell ref="A26:A28"/>
    <mergeCell ref="B26:J26"/>
    <mergeCell ref="B27:J27"/>
    <mergeCell ref="A16:A18"/>
    <mergeCell ref="B16:J16"/>
    <mergeCell ref="B17:J17"/>
  </mergeCells>
  <printOptions horizontalCentered="1"/>
  <pageMargins left="0.1968503937007874" right="0.1968503937007874" top="0.1968503937007874" bottom="0.2362204724409449" header="0.11811023622047245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4.140625" style="64" bestFit="1" customWidth="1"/>
    <col min="2" max="2" width="19.28125" style="64" customWidth="1"/>
    <col min="3" max="3" width="19.00390625" style="64" bestFit="1" customWidth="1"/>
    <col min="4" max="4" width="15.140625" style="64" customWidth="1"/>
    <col min="5" max="5" width="15.7109375" style="64" customWidth="1"/>
    <col min="6" max="6" width="17.28125" style="64" customWidth="1"/>
    <col min="7" max="7" width="15.140625" style="64" customWidth="1"/>
    <col min="8" max="8" width="5.8515625" style="64" customWidth="1"/>
    <col min="9" max="9" width="5.421875" style="64" customWidth="1"/>
    <col min="10" max="10" width="5.28125" style="64" customWidth="1"/>
    <col min="11" max="11" width="6.00390625" style="64" customWidth="1"/>
    <col min="12" max="16384" width="9.140625" style="64" customWidth="1"/>
  </cols>
  <sheetData>
    <row r="1" spans="1:11" ht="15.75">
      <c r="A1" s="377" t="s">
        <v>497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ht="13.5" thickBot="1">
      <c r="D2" s="65"/>
    </row>
    <row r="3" spans="1:11" ht="13.5" thickBot="1">
      <c r="A3" s="378" t="s">
        <v>479</v>
      </c>
      <c r="B3" s="381" t="s">
        <v>480</v>
      </c>
      <c r="C3" s="378" t="s">
        <v>4</v>
      </c>
      <c r="D3" s="66" t="s">
        <v>481</v>
      </c>
      <c r="E3" s="67"/>
      <c r="F3" s="67"/>
      <c r="G3" s="68"/>
      <c r="H3" s="384" t="s">
        <v>482</v>
      </c>
      <c r="I3" s="391" t="s">
        <v>483</v>
      </c>
      <c r="J3" s="391" t="s">
        <v>484</v>
      </c>
      <c r="K3" s="393" t="s">
        <v>485</v>
      </c>
    </row>
    <row r="4" spans="1:11" ht="27" customHeight="1" thickBot="1">
      <c r="A4" s="379"/>
      <c r="B4" s="382"/>
      <c r="C4" s="382" t="s">
        <v>486</v>
      </c>
      <c r="D4" s="388" t="s">
        <v>487</v>
      </c>
      <c r="E4" s="395" t="s">
        <v>488</v>
      </c>
      <c r="F4" s="388" t="s">
        <v>489</v>
      </c>
      <c r="G4" s="388" t="s">
        <v>490</v>
      </c>
      <c r="H4" s="390"/>
      <c r="I4" s="392" t="s">
        <v>483</v>
      </c>
      <c r="J4" s="392" t="s">
        <v>484</v>
      </c>
      <c r="K4" s="394" t="s">
        <v>485</v>
      </c>
    </row>
    <row r="5" spans="1:11" ht="13.5" thickBot="1">
      <c r="A5" s="380"/>
      <c r="B5" s="383"/>
      <c r="C5" s="383"/>
      <c r="D5" s="389"/>
      <c r="E5" s="395" t="s">
        <v>488</v>
      </c>
      <c r="F5" s="389" t="s">
        <v>489</v>
      </c>
      <c r="G5" s="389" t="s">
        <v>490</v>
      </c>
      <c r="H5" s="385" t="s">
        <v>491</v>
      </c>
      <c r="I5" s="385"/>
      <c r="J5" s="385"/>
      <c r="K5" s="386"/>
    </row>
    <row r="6" spans="1:11" ht="9.75" customHeight="1" thickBot="1">
      <c r="A6" s="69">
        <v>1</v>
      </c>
      <c r="B6" s="70">
        <v>2</v>
      </c>
      <c r="C6" s="69">
        <v>3</v>
      </c>
      <c r="D6" s="71">
        <v>4</v>
      </c>
      <c r="E6" s="71">
        <v>5</v>
      </c>
      <c r="F6" s="71">
        <v>6</v>
      </c>
      <c r="G6" s="70">
        <v>7</v>
      </c>
      <c r="H6" s="72">
        <v>8</v>
      </c>
      <c r="I6" s="71">
        <v>9</v>
      </c>
      <c r="J6" s="71">
        <v>10</v>
      </c>
      <c r="K6" s="70">
        <v>11</v>
      </c>
    </row>
    <row r="7" spans="1:11" ht="17.25" customHeight="1" thickBot="1">
      <c r="A7" s="375" t="s">
        <v>492</v>
      </c>
      <c r="B7" s="376"/>
      <c r="C7" s="205">
        <f aca="true" t="shared" si="0" ref="C7:C23">SUM(D7:G7)</f>
        <v>25876097086.129997</v>
      </c>
      <c r="D7" s="206">
        <f>SUM(D8:D23)</f>
        <v>9958558377.48</v>
      </c>
      <c r="E7" s="206">
        <f>SUM(E8:E23)</f>
        <v>2639528819.61</v>
      </c>
      <c r="F7" s="206">
        <f>SUM(F8:F23)</f>
        <v>11258690371.08</v>
      </c>
      <c r="G7" s="207">
        <f>SUM(G8:G23)</f>
        <v>2019319517.9599998</v>
      </c>
      <c r="H7" s="193">
        <f aca="true" t="shared" si="1" ref="H7:H23">D7/C7*100</f>
        <v>38.48555036848253</v>
      </c>
      <c r="I7" s="194">
        <f aca="true" t="shared" si="2" ref="I7:I23">E7/C7*100</f>
        <v>10.200645061827466</v>
      </c>
      <c r="J7" s="195">
        <f aca="true" t="shared" si="3" ref="J7:J23">F7/C7*100</f>
        <v>43.510002043990006</v>
      </c>
      <c r="K7" s="196">
        <f aca="true" t="shared" si="4" ref="K7:K23">G7/C7*100</f>
        <v>7.803802525700012</v>
      </c>
    </row>
    <row r="8" spans="1:11" ht="12.75">
      <c r="A8" s="73" t="s">
        <v>13</v>
      </c>
      <c r="B8" s="74" t="s">
        <v>14</v>
      </c>
      <c r="C8" s="246">
        <f t="shared" si="0"/>
        <v>2150360633.7700005</v>
      </c>
      <c r="D8" s="109">
        <v>1078698305.8300002</v>
      </c>
      <c r="E8" s="149">
        <v>341397708.05</v>
      </c>
      <c r="F8" s="197">
        <v>568910345.1400001</v>
      </c>
      <c r="G8" s="199">
        <v>161354274.75</v>
      </c>
      <c r="H8" s="202">
        <f t="shared" si="1"/>
        <v>50.16359995108505</v>
      </c>
      <c r="I8" s="75">
        <f t="shared" si="2"/>
        <v>15.876300127921494</v>
      </c>
      <c r="J8" s="76">
        <f t="shared" si="3"/>
        <v>26.456508559803275</v>
      </c>
      <c r="K8" s="77">
        <f t="shared" si="4"/>
        <v>7.503591361190172</v>
      </c>
    </row>
    <row r="9" spans="1:11" ht="12.75">
      <c r="A9" s="78" t="s">
        <v>15</v>
      </c>
      <c r="B9" s="17" t="s">
        <v>16</v>
      </c>
      <c r="C9" s="244">
        <f t="shared" si="0"/>
        <v>1772501617.9899998</v>
      </c>
      <c r="D9" s="111">
        <v>481313336.66999984</v>
      </c>
      <c r="E9" s="132">
        <v>79743837.35</v>
      </c>
      <c r="F9" s="170">
        <v>940202448.35</v>
      </c>
      <c r="G9" s="200">
        <v>271241995.62</v>
      </c>
      <c r="H9" s="203">
        <f t="shared" si="1"/>
        <v>27.154465292720275</v>
      </c>
      <c r="I9" s="79">
        <f t="shared" si="2"/>
        <v>4.498942993373894</v>
      </c>
      <c r="J9" s="80">
        <f t="shared" si="3"/>
        <v>53.04381326411317</v>
      </c>
      <c r="K9" s="81">
        <f t="shared" si="4"/>
        <v>15.302778449792665</v>
      </c>
    </row>
    <row r="10" spans="1:11" ht="12.75">
      <c r="A10" s="78" t="s">
        <v>17</v>
      </c>
      <c r="B10" s="17" t="s">
        <v>18</v>
      </c>
      <c r="C10" s="244">
        <f t="shared" si="0"/>
        <v>1104680824.55</v>
      </c>
      <c r="D10" s="111">
        <v>395066792.2200001</v>
      </c>
      <c r="E10" s="132">
        <v>161254794.51</v>
      </c>
      <c r="F10" s="170">
        <v>407656180.84000003</v>
      </c>
      <c r="G10" s="200">
        <v>140703056.98</v>
      </c>
      <c r="H10" s="203">
        <f t="shared" si="1"/>
        <v>35.76298089368334</v>
      </c>
      <c r="I10" s="79">
        <f t="shared" si="2"/>
        <v>14.597410485122555</v>
      </c>
      <c r="J10" s="80">
        <f t="shared" si="3"/>
        <v>36.90262126221498</v>
      </c>
      <c r="K10" s="81">
        <f t="shared" si="4"/>
        <v>12.736987358979137</v>
      </c>
    </row>
    <row r="11" spans="1:11" ht="12.75">
      <c r="A11" s="78" t="s">
        <v>19</v>
      </c>
      <c r="B11" s="17" t="s">
        <v>20</v>
      </c>
      <c r="C11" s="244">
        <f t="shared" si="0"/>
        <v>735444432.85</v>
      </c>
      <c r="D11" s="111">
        <v>312993886.84</v>
      </c>
      <c r="E11" s="132">
        <v>130649891.78</v>
      </c>
      <c r="F11" s="170">
        <v>139183813.75</v>
      </c>
      <c r="G11" s="200">
        <v>152616840.48</v>
      </c>
      <c r="H11" s="203">
        <f t="shared" si="1"/>
        <v>42.55846843888445</v>
      </c>
      <c r="I11" s="79">
        <f t="shared" si="2"/>
        <v>17.76475365701043</v>
      </c>
      <c r="J11" s="80">
        <f t="shared" si="3"/>
        <v>18.92512983076557</v>
      </c>
      <c r="K11" s="81">
        <f t="shared" si="4"/>
        <v>20.751648073339545</v>
      </c>
    </row>
    <row r="12" spans="1:11" ht="12.75">
      <c r="A12" s="78" t="s">
        <v>21</v>
      </c>
      <c r="B12" s="17" t="s">
        <v>22</v>
      </c>
      <c r="C12" s="244">
        <f t="shared" si="0"/>
        <v>1707284141.64</v>
      </c>
      <c r="D12" s="111">
        <v>652071374.7600002</v>
      </c>
      <c r="E12" s="132">
        <v>151750840.04000002</v>
      </c>
      <c r="F12" s="170">
        <v>863968506.62</v>
      </c>
      <c r="G12" s="200">
        <v>39493420.22</v>
      </c>
      <c r="H12" s="203">
        <f t="shared" si="1"/>
        <v>38.1934886441121</v>
      </c>
      <c r="I12" s="79">
        <f t="shared" si="2"/>
        <v>8.888434932349906</v>
      </c>
      <c r="J12" s="80">
        <f t="shared" si="3"/>
        <v>50.604845763405294</v>
      </c>
      <c r="K12" s="81">
        <f t="shared" si="4"/>
        <v>2.3132306601327075</v>
      </c>
    </row>
    <row r="13" spans="1:11" ht="12.75">
      <c r="A13" s="78" t="s">
        <v>23</v>
      </c>
      <c r="B13" s="17" t="s">
        <v>24</v>
      </c>
      <c r="C13" s="244">
        <f t="shared" si="0"/>
        <v>2974192930.42</v>
      </c>
      <c r="D13" s="111">
        <v>986418502.8500001</v>
      </c>
      <c r="E13" s="132">
        <v>230454886.7</v>
      </c>
      <c r="F13" s="170">
        <v>1599507982.25</v>
      </c>
      <c r="G13" s="200">
        <v>157811558.62</v>
      </c>
      <c r="H13" s="203">
        <f t="shared" si="1"/>
        <v>33.16592184592084</v>
      </c>
      <c r="I13" s="79">
        <f t="shared" si="2"/>
        <v>7.74848478533154</v>
      </c>
      <c r="J13" s="80">
        <f t="shared" si="3"/>
        <v>53.77956372265756</v>
      </c>
      <c r="K13" s="81">
        <f t="shared" si="4"/>
        <v>5.306029646090063</v>
      </c>
    </row>
    <row r="14" spans="1:11" ht="12.75">
      <c r="A14" s="78" t="s">
        <v>25</v>
      </c>
      <c r="B14" s="17" t="s">
        <v>26</v>
      </c>
      <c r="C14" s="244">
        <f t="shared" si="0"/>
        <v>4398630243.99</v>
      </c>
      <c r="D14" s="111">
        <v>1176912945.8699994</v>
      </c>
      <c r="E14" s="132">
        <v>238990378.57</v>
      </c>
      <c r="F14" s="170">
        <v>2630707312.38</v>
      </c>
      <c r="G14" s="200">
        <v>352019607.17</v>
      </c>
      <c r="H14" s="203">
        <f t="shared" si="1"/>
        <v>26.756350968078213</v>
      </c>
      <c r="I14" s="79">
        <f t="shared" si="2"/>
        <v>5.433290940890992</v>
      </c>
      <c r="J14" s="80">
        <f t="shared" si="3"/>
        <v>59.80742109374677</v>
      </c>
      <c r="K14" s="81">
        <f t="shared" si="4"/>
        <v>8.002936997284019</v>
      </c>
    </row>
    <row r="15" spans="1:11" ht="12.75">
      <c r="A15" s="78" t="s">
        <v>27</v>
      </c>
      <c r="B15" s="17" t="s">
        <v>28</v>
      </c>
      <c r="C15" s="244">
        <f t="shared" si="0"/>
        <v>560020078.13</v>
      </c>
      <c r="D15" s="111">
        <v>255314164.82999998</v>
      </c>
      <c r="E15" s="132">
        <v>75574874.32000001</v>
      </c>
      <c r="F15" s="170">
        <v>95409194.07</v>
      </c>
      <c r="G15" s="200">
        <v>133721844.91</v>
      </c>
      <c r="H15" s="203">
        <f t="shared" si="1"/>
        <v>45.59018056683545</v>
      </c>
      <c r="I15" s="79">
        <f t="shared" si="2"/>
        <v>13.495029423294438</v>
      </c>
      <c r="J15" s="80">
        <f t="shared" si="3"/>
        <v>17.036745251810814</v>
      </c>
      <c r="K15" s="81">
        <f t="shared" si="4"/>
        <v>23.87804475805929</v>
      </c>
    </row>
    <row r="16" spans="1:11" ht="12.75">
      <c r="A16" s="78" t="s">
        <v>29</v>
      </c>
      <c r="B16" s="17" t="s">
        <v>30</v>
      </c>
      <c r="C16" s="244">
        <f t="shared" si="0"/>
        <v>1193106909.71</v>
      </c>
      <c r="D16" s="111">
        <v>593486824.7900002</v>
      </c>
      <c r="E16" s="132">
        <v>186538493.01000002</v>
      </c>
      <c r="F16" s="170">
        <v>325561221.32</v>
      </c>
      <c r="G16" s="200">
        <v>87520370.59</v>
      </c>
      <c r="H16" s="203">
        <f t="shared" si="1"/>
        <v>49.742971058163995</v>
      </c>
      <c r="I16" s="79">
        <f t="shared" si="2"/>
        <v>15.634683823542735</v>
      </c>
      <c r="J16" s="80">
        <f t="shared" si="3"/>
        <v>27.286844009572608</v>
      </c>
      <c r="K16" s="81">
        <f t="shared" si="4"/>
        <v>7.335501108720672</v>
      </c>
    </row>
    <row r="17" spans="1:11" ht="12.75">
      <c r="A17" s="78" t="s">
        <v>31</v>
      </c>
      <c r="B17" s="17" t="s">
        <v>32</v>
      </c>
      <c r="C17" s="244">
        <f t="shared" si="0"/>
        <v>602197810.82</v>
      </c>
      <c r="D17" s="111">
        <v>195741557.27000007</v>
      </c>
      <c r="E17" s="132">
        <v>45969714.12</v>
      </c>
      <c r="F17" s="170">
        <v>287412019.83</v>
      </c>
      <c r="G17" s="200">
        <v>73074519.6</v>
      </c>
      <c r="H17" s="203">
        <f t="shared" si="1"/>
        <v>32.504528205352145</v>
      </c>
      <c r="I17" s="79">
        <f t="shared" si="2"/>
        <v>7.633656797490514</v>
      </c>
      <c r="J17" s="80">
        <f t="shared" si="3"/>
        <v>47.72717779206754</v>
      </c>
      <c r="K17" s="81">
        <f t="shared" si="4"/>
        <v>12.134637205089795</v>
      </c>
    </row>
    <row r="18" spans="1:11" ht="12.75">
      <c r="A18" s="78" t="s">
        <v>33</v>
      </c>
      <c r="B18" s="17" t="s">
        <v>34</v>
      </c>
      <c r="C18" s="244">
        <f t="shared" si="0"/>
        <v>1408829796.6499999</v>
      </c>
      <c r="D18" s="111">
        <v>627766329.3299999</v>
      </c>
      <c r="E18" s="132">
        <v>159480517.23999998</v>
      </c>
      <c r="F18" s="170">
        <v>551687588.76</v>
      </c>
      <c r="G18" s="200">
        <v>69895361.32</v>
      </c>
      <c r="H18" s="203">
        <f t="shared" si="1"/>
        <v>44.559415965132224</v>
      </c>
      <c r="I18" s="79">
        <f t="shared" si="2"/>
        <v>11.32006986360044</v>
      </c>
      <c r="J18" s="80">
        <f t="shared" si="3"/>
        <v>39.159278861920434</v>
      </c>
      <c r="K18" s="81">
        <f t="shared" si="4"/>
        <v>4.961235309346905</v>
      </c>
    </row>
    <row r="19" spans="1:11" ht="12.75">
      <c r="A19" s="78" t="s">
        <v>35</v>
      </c>
      <c r="B19" s="17" t="s">
        <v>36</v>
      </c>
      <c r="C19" s="244">
        <f t="shared" si="0"/>
        <v>2378596791.34</v>
      </c>
      <c r="D19" s="111">
        <v>810450521.95</v>
      </c>
      <c r="E19" s="132">
        <v>143232911.34</v>
      </c>
      <c r="F19" s="170">
        <v>1420832339.2499998</v>
      </c>
      <c r="G19" s="200">
        <v>4081018.8</v>
      </c>
      <c r="H19" s="203">
        <f t="shared" si="1"/>
        <v>34.07263159946612</v>
      </c>
      <c r="I19" s="79">
        <f t="shared" si="2"/>
        <v>6.021739870392605</v>
      </c>
      <c r="J19" s="80">
        <f t="shared" si="3"/>
        <v>59.73405599565966</v>
      </c>
      <c r="K19" s="81">
        <f t="shared" si="4"/>
        <v>0.17157253448159776</v>
      </c>
    </row>
    <row r="20" spans="1:11" ht="12.75">
      <c r="A20" s="78" t="s">
        <v>37</v>
      </c>
      <c r="B20" s="17" t="s">
        <v>38</v>
      </c>
      <c r="C20" s="244">
        <f t="shared" si="0"/>
        <v>592661151.43</v>
      </c>
      <c r="D20" s="111">
        <v>327008198.16</v>
      </c>
      <c r="E20" s="132">
        <v>114478190.82000001</v>
      </c>
      <c r="F20" s="170">
        <v>103041517.52</v>
      </c>
      <c r="G20" s="200">
        <v>48133244.93</v>
      </c>
      <c r="H20" s="203">
        <f t="shared" si="1"/>
        <v>55.17624993151309</v>
      </c>
      <c r="I20" s="79">
        <f t="shared" si="2"/>
        <v>19.315959978780757</v>
      </c>
      <c r="J20" s="80">
        <f t="shared" si="3"/>
        <v>17.38624461403902</v>
      </c>
      <c r="K20" s="81">
        <f t="shared" si="4"/>
        <v>8.121545475667151</v>
      </c>
    </row>
    <row r="21" spans="1:11" ht="12.75">
      <c r="A21" s="78" t="s">
        <v>39</v>
      </c>
      <c r="B21" s="17" t="s">
        <v>40</v>
      </c>
      <c r="C21" s="244">
        <f t="shared" si="0"/>
        <v>1018378780.95</v>
      </c>
      <c r="D21" s="111">
        <v>480446594.83000004</v>
      </c>
      <c r="E21" s="132">
        <v>216626558.27</v>
      </c>
      <c r="F21" s="170">
        <v>162802004.29</v>
      </c>
      <c r="G21" s="200">
        <v>158503623.56</v>
      </c>
      <c r="H21" s="203">
        <f t="shared" si="1"/>
        <v>47.17759283847341</v>
      </c>
      <c r="I21" s="79">
        <f t="shared" si="2"/>
        <v>21.271707769472453</v>
      </c>
      <c r="J21" s="80">
        <f t="shared" si="3"/>
        <v>15.98639006776332</v>
      </c>
      <c r="K21" s="81">
        <f t="shared" si="4"/>
        <v>15.564309324290814</v>
      </c>
    </row>
    <row r="22" spans="1:11" ht="12.75">
      <c r="A22" s="78" t="s">
        <v>41</v>
      </c>
      <c r="B22" s="17" t="s">
        <v>42</v>
      </c>
      <c r="C22" s="244">
        <f t="shared" si="0"/>
        <v>2177573929.56</v>
      </c>
      <c r="D22" s="111">
        <v>999267868.8600001</v>
      </c>
      <c r="E22" s="132">
        <v>231624473.59</v>
      </c>
      <c r="F22" s="170">
        <v>839784394.04</v>
      </c>
      <c r="G22" s="200">
        <v>106897193.07</v>
      </c>
      <c r="H22" s="203">
        <f t="shared" si="1"/>
        <v>45.88904446802925</v>
      </c>
      <c r="I22" s="79">
        <f t="shared" si="2"/>
        <v>10.63681331071051</v>
      </c>
      <c r="J22" s="80">
        <f t="shared" si="3"/>
        <v>38.56513814020939</v>
      </c>
      <c r="K22" s="81">
        <f t="shared" si="4"/>
        <v>4.909004081050861</v>
      </c>
    </row>
    <row r="23" spans="1:11" ht="13.5" thickBot="1">
      <c r="A23" s="82" t="s">
        <v>43</v>
      </c>
      <c r="B23" s="83" t="s">
        <v>44</v>
      </c>
      <c r="C23" s="245">
        <f t="shared" si="0"/>
        <v>1101637012.3300002</v>
      </c>
      <c r="D23" s="113">
        <v>585601172.4200002</v>
      </c>
      <c r="E23" s="150">
        <v>131760749.89999999</v>
      </c>
      <c r="F23" s="198">
        <v>322023502.67</v>
      </c>
      <c r="G23" s="201">
        <v>62251587.34</v>
      </c>
      <c r="H23" s="204">
        <f t="shared" si="1"/>
        <v>53.157361804813874</v>
      </c>
      <c r="I23" s="84">
        <f t="shared" si="2"/>
        <v>11.960450531824586</v>
      </c>
      <c r="J23" s="85">
        <f t="shared" si="3"/>
        <v>29.231361970029425</v>
      </c>
      <c r="K23" s="86">
        <f t="shared" si="4"/>
        <v>5.650825693332122</v>
      </c>
    </row>
    <row r="24" spans="3:7" ht="12.75">
      <c r="C24" s="87"/>
      <c r="D24" s="87"/>
      <c r="E24" s="87"/>
      <c r="F24" s="87"/>
      <c r="G24" s="87"/>
    </row>
    <row r="25" ht="12.75">
      <c r="A25" s="278" t="s">
        <v>506</v>
      </c>
    </row>
  </sheetData>
  <mergeCells count="14">
    <mergeCell ref="A1:K1"/>
    <mergeCell ref="A3:A5"/>
    <mergeCell ref="B3:B5"/>
    <mergeCell ref="C3:C5"/>
    <mergeCell ref="H3:H4"/>
    <mergeCell ref="I3:I4"/>
    <mergeCell ref="J3:J4"/>
    <mergeCell ref="K3:K4"/>
    <mergeCell ref="D4:D5"/>
    <mergeCell ref="E4:E5"/>
    <mergeCell ref="F4:F5"/>
    <mergeCell ref="G4:G5"/>
    <mergeCell ref="H5:K5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B1">
      <selection activeCell="B1" sqref="B1:M1"/>
    </sheetView>
  </sheetViews>
  <sheetFormatPr defaultColWidth="9.140625" defaultRowHeight="12.75"/>
  <cols>
    <col min="1" max="1" width="5.7109375" style="311" hidden="1" customWidth="1"/>
    <col min="2" max="2" width="23.28125" style="311" customWidth="1"/>
    <col min="3" max="5" width="14.57421875" style="311" customWidth="1"/>
    <col min="6" max="6" width="13.8515625" style="311" customWidth="1"/>
    <col min="7" max="8" width="13.00390625" style="311" customWidth="1"/>
    <col min="9" max="9" width="12.00390625" style="311" customWidth="1"/>
    <col min="10" max="10" width="10.8515625" style="311" bestFit="1" customWidth="1"/>
    <col min="11" max="11" width="7.421875" style="311" customWidth="1"/>
    <col min="12" max="12" width="7.28125" style="311" customWidth="1"/>
    <col min="13" max="13" width="8.140625" style="311" customWidth="1"/>
    <col min="14" max="16384" width="9.140625" style="311" customWidth="1"/>
  </cols>
  <sheetData>
    <row r="1" spans="2:13" ht="15.75">
      <c r="B1" s="420" t="s">
        <v>625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ht="12.75"/>
    <row r="3" spans="2:13" ht="66.75" customHeight="1">
      <c r="B3" s="419" t="s">
        <v>525</v>
      </c>
      <c r="C3" s="305" t="s">
        <v>610</v>
      </c>
      <c r="D3" s="305" t="s">
        <v>611</v>
      </c>
      <c r="E3" s="305" t="s">
        <v>612</v>
      </c>
      <c r="F3" s="305" t="s">
        <v>613</v>
      </c>
      <c r="G3" s="305" t="s">
        <v>614</v>
      </c>
      <c r="H3" s="305" t="s">
        <v>615</v>
      </c>
      <c r="I3" s="305" t="s">
        <v>616</v>
      </c>
      <c r="J3" s="305" t="s">
        <v>617</v>
      </c>
      <c r="K3" s="308" t="s">
        <v>526</v>
      </c>
      <c r="L3" s="305" t="s">
        <v>527</v>
      </c>
      <c r="M3" s="305" t="s">
        <v>528</v>
      </c>
    </row>
    <row r="4" spans="2:13" ht="12.75">
      <c r="B4" s="419"/>
      <c r="C4" s="415"/>
      <c r="D4" s="415"/>
      <c r="E4" s="415"/>
      <c r="F4" s="415"/>
      <c r="G4" s="415"/>
      <c r="H4" s="415"/>
      <c r="I4" s="415"/>
      <c r="J4" s="415"/>
      <c r="K4" s="415" t="s">
        <v>12</v>
      </c>
      <c r="L4" s="415"/>
      <c r="M4" s="415"/>
    </row>
    <row r="5" spans="2:13" ht="12.75">
      <c r="B5" s="308">
        <v>1</v>
      </c>
      <c r="C5" s="310">
        <v>2</v>
      </c>
      <c r="D5" s="310">
        <v>3</v>
      </c>
      <c r="E5" s="310">
        <v>4</v>
      </c>
      <c r="F5" s="308">
        <v>5</v>
      </c>
      <c r="G5" s="310">
        <v>6</v>
      </c>
      <c r="H5" s="308">
        <v>7</v>
      </c>
      <c r="I5" s="310">
        <v>8</v>
      </c>
      <c r="J5" s="308">
        <v>9</v>
      </c>
      <c r="K5" s="310">
        <v>10</v>
      </c>
      <c r="L5" s="308">
        <v>11</v>
      </c>
      <c r="M5" s="310">
        <v>12</v>
      </c>
    </row>
    <row r="6" spans="2:13" ht="25.5" customHeight="1">
      <c r="B6" s="312" t="s">
        <v>529</v>
      </c>
      <c r="C6" s="313">
        <f>129864478858.32</f>
        <v>129864478858.32</v>
      </c>
      <c r="D6" s="313">
        <f>131380203004.3</f>
        <v>131380203004.3</v>
      </c>
      <c r="E6" s="313">
        <f>129832331838.36</f>
        <v>129832331838.36</v>
      </c>
      <c r="F6" s="313">
        <f>2111640169.43</f>
        <v>2111640169.43</v>
      </c>
      <c r="G6" s="313">
        <f>478956270.32</f>
        <v>478956270.32</v>
      </c>
      <c r="H6" s="313">
        <f>304406200.67</f>
        <v>304406200.67</v>
      </c>
      <c r="I6" s="313">
        <f>195157971.49</f>
        <v>195157971.49</v>
      </c>
      <c r="J6" s="313">
        <f>65758633.08</f>
        <v>65758633.08</v>
      </c>
      <c r="K6" s="314">
        <f aca="true" t="shared" si="0" ref="K6:K39">IF($D$6=0,"",100*$D6/$D$6)</f>
        <v>100</v>
      </c>
      <c r="L6" s="314">
        <f aca="true" t="shared" si="1" ref="L6:L39">IF(C6=0,"",100*D6/C6)</f>
        <v>101.16715837872312</v>
      </c>
      <c r="M6" s="314"/>
    </row>
    <row r="7" spans="2:13" ht="25.5" customHeight="1">
      <c r="B7" s="312" t="s">
        <v>530</v>
      </c>
      <c r="C7" s="313">
        <f>C6-C22-C33</f>
        <v>71196543114.83</v>
      </c>
      <c r="D7" s="313">
        <f>D6-D22-D33</f>
        <v>74134448608.58002</v>
      </c>
      <c r="E7" s="313">
        <f>E6-E22-E33</f>
        <v>72460428662.45</v>
      </c>
      <c r="F7" s="313">
        <f>F6</f>
        <v>2111640169.43</v>
      </c>
      <c r="G7" s="313">
        <f>G6</f>
        <v>478956270.32</v>
      </c>
      <c r="H7" s="313">
        <f>H6</f>
        <v>304406200.67</v>
      </c>
      <c r="I7" s="313">
        <f>I6</f>
        <v>195157971.49</v>
      </c>
      <c r="J7" s="313">
        <f>J6</f>
        <v>65758633.08</v>
      </c>
      <c r="K7" s="314">
        <f t="shared" si="0"/>
        <v>56.42741213160832</v>
      </c>
      <c r="L7" s="314">
        <f t="shared" si="1"/>
        <v>104.12647210836008</v>
      </c>
      <c r="M7" s="314">
        <f aca="true" t="shared" si="2" ref="M7:M21">IF($D$7=0,"",100*$D7/$D$7)</f>
        <v>100</v>
      </c>
    </row>
    <row r="8" spans="2:13" ht="22.5" customHeight="1">
      <c r="B8" s="315" t="s">
        <v>531</v>
      </c>
      <c r="C8" s="316">
        <f>6675879243.62</f>
        <v>6675879243.62</v>
      </c>
      <c r="D8" s="316">
        <f>7615827949.01</f>
        <v>7615827949.01</v>
      </c>
      <c r="E8" s="316">
        <f>7609868384.92</f>
        <v>7609868384.92</v>
      </c>
      <c r="F8" s="316">
        <f>0</f>
        <v>0</v>
      </c>
      <c r="G8" s="316">
        <f>0</f>
        <v>0</v>
      </c>
      <c r="H8" s="316">
        <f>0</f>
        <v>0</v>
      </c>
      <c r="I8" s="316">
        <f>0</f>
        <v>0</v>
      </c>
      <c r="J8" s="316">
        <f>0</f>
        <v>0</v>
      </c>
      <c r="K8" s="317">
        <f t="shared" si="0"/>
        <v>5.796785036753778</v>
      </c>
      <c r="L8" s="317">
        <f t="shared" si="1"/>
        <v>114.07977393072665</v>
      </c>
      <c r="M8" s="317">
        <f t="shared" si="2"/>
        <v>10.272994663008225</v>
      </c>
    </row>
    <row r="9" spans="2:13" ht="22.5" customHeight="1">
      <c r="B9" s="315" t="s">
        <v>532</v>
      </c>
      <c r="C9" s="316">
        <f>23948537523.28</f>
        <v>23948537523.28</v>
      </c>
      <c r="D9" s="316">
        <f>25600423483</f>
        <v>25600423483</v>
      </c>
      <c r="E9" s="316">
        <f>24594341048.74</f>
        <v>24594341048.74</v>
      </c>
      <c r="F9" s="316">
        <f>0</f>
        <v>0</v>
      </c>
      <c r="G9" s="316">
        <f>0</f>
        <v>0</v>
      </c>
      <c r="H9" s="316">
        <f>0</f>
        <v>0</v>
      </c>
      <c r="I9" s="316">
        <f>0</f>
        <v>0</v>
      </c>
      <c r="J9" s="316">
        <f>0</f>
        <v>0</v>
      </c>
      <c r="K9" s="317">
        <f t="shared" si="0"/>
        <v>19.485754244238848</v>
      </c>
      <c r="L9" s="317">
        <f t="shared" si="1"/>
        <v>106.89764858548973</v>
      </c>
      <c r="M9" s="317">
        <f t="shared" si="2"/>
        <v>34.53242583372653</v>
      </c>
    </row>
    <row r="10" spans="2:13" ht="13.5" customHeight="1">
      <c r="B10" s="315" t="s">
        <v>533</v>
      </c>
      <c r="C10" s="316">
        <f>935885163.52</f>
        <v>935885163.52</v>
      </c>
      <c r="D10" s="316">
        <f>931517102.81</f>
        <v>931517102.81</v>
      </c>
      <c r="E10" s="316">
        <f>929993356.14</f>
        <v>929993356.14</v>
      </c>
      <c r="F10" s="316">
        <f>131175008.18</f>
        <v>131175008.18</v>
      </c>
      <c r="G10" s="316">
        <f>3318439.61</f>
        <v>3318439.61</v>
      </c>
      <c r="H10" s="316">
        <f>16858075.02</f>
        <v>16858075.02</v>
      </c>
      <c r="I10" s="316">
        <f>7629684.9</f>
        <v>7629684.9</v>
      </c>
      <c r="J10" s="316">
        <f>101613.77</f>
        <v>101613.77</v>
      </c>
      <c r="K10" s="317">
        <f t="shared" si="0"/>
        <v>0.7090239484403232</v>
      </c>
      <c r="L10" s="317">
        <f t="shared" si="1"/>
        <v>99.53326958474574</v>
      </c>
      <c r="M10" s="317">
        <f t="shared" si="2"/>
        <v>1.2565239511367865</v>
      </c>
    </row>
    <row r="11" spans="2:13" ht="13.5" customHeight="1">
      <c r="B11" s="315" t="s">
        <v>534</v>
      </c>
      <c r="C11" s="316">
        <f>12491983880.65</f>
        <v>12491983880.65</v>
      </c>
      <c r="D11" s="318">
        <f>12702417079.16</f>
        <v>12702417079.16</v>
      </c>
      <c r="E11" s="316">
        <f>12678046291.37</f>
        <v>12678046291.37</v>
      </c>
      <c r="F11" s="316">
        <f>1642240517.8</f>
        <v>1642240517.8</v>
      </c>
      <c r="G11" s="316">
        <f>464122266.63</f>
        <v>464122266.63</v>
      </c>
      <c r="H11" s="316">
        <f>222264568.13</f>
        <v>222264568.13</v>
      </c>
      <c r="I11" s="316">
        <f>146478610.05</f>
        <v>146478610.05</v>
      </c>
      <c r="J11" s="316">
        <f>38062704.16</f>
        <v>38062704.16</v>
      </c>
      <c r="K11" s="317">
        <f t="shared" si="0"/>
        <v>9.668440745782876</v>
      </c>
      <c r="L11" s="317">
        <f t="shared" si="1"/>
        <v>101.6845458697394</v>
      </c>
      <c r="M11" s="317">
        <f t="shared" si="2"/>
        <v>17.13429764106976</v>
      </c>
    </row>
    <row r="12" spans="2:13" ht="13.5" customHeight="1">
      <c r="B12" s="315" t="s">
        <v>535</v>
      </c>
      <c r="C12" s="316">
        <f>154121636.46</f>
        <v>154121636.46</v>
      </c>
      <c r="D12" s="318">
        <f>157135655.08</f>
        <v>157135655.08</v>
      </c>
      <c r="E12" s="316">
        <f>157095918.22</f>
        <v>157095918.22</v>
      </c>
      <c r="F12" s="316">
        <f>1821150.04</f>
        <v>1821150.04</v>
      </c>
      <c r="G12" s="316">
        <f>316904.58</f>
        <v>316904.58</v>
      </c>
      <c r="H12" s="316">
        <f>397537.94</f>
        <v>397537.94</v>
      </c>
      <c r="I12" s="316">
        <f>31570.74</f>
        <v>31570.74</v>
      </c>
      <c r="J12" s="316">
        <f>4324.47</f>
        <v>4324.47</v>
      </c>
      <c r="K12" s="317">
        <f t="shared" si="0"/>
        <v>0.11960375420858274</v>
      </c>
      <c r="L12" s="317">
        <f t="shared" si="1"/>
        <v>101.95561031483224</v>
      </c>
      <c r="M12" s="317">
        <f t="shared" si="2"/>
        <v>0.2119603747370609</v>
      </c>
    </row>
    <row r="13" spans="2:13" ht="22.5" customHeight="1">
      <c r="B13" s="315" t="s">
        <v>536</v>
      </c>
      <c r="C13" s="316">
        <f>772134051.71</f>
        <v>772134051.71</v>
      </c>
      <c r="D13" s="318">
        <f>812602082.1</f>
        <v>812602082.1</v>
      </c>
      <c r="E13" s="316">
        <f>808341033.71</f>
        <v>808341033.71</v>
      </c>
      <c r="F13" s="316">
        <f>315464046.04</f>
        <v>315464046.04</v>
      </c>
      <c r="G13" s="316">
        <f>3606714.52</f>
        <v>3606714.52</v>
      </c>
      <c r="H13" s="316">
        <f>9205825.55</f>
        <v>9205825.55</v>
      </c>
      <c r="I13" s="316">
        <f>9321275.54</f>
        <v>9321275.54</v>
      </c>
      <c r="J13" s="316">
        <f>112429.14</f>
        <v>112429.14</v>
      </c>
      <c r="K13" s="317">
        <f t="shared" si="0"/>
        <v>0.6185118180045771</v>
      </c>
      <c r="L13" s="317">
        <f t="shared" si="1"/>
        <v>105.24106277923863</v>
      </c>
      <c r="M13" s="317">
        <f t="shared" si="2"/>
        <v>1.0961194118950428</v>
      </c>
    </row>
    <row r="14" spans="2:13" ht="33" customHeight="1">
      <c r="B14" s="315" t="s">
        <v>537</v>
      </c>
      <c r="C14" s="316">
        <f>107422368.03</f>
        <v>107422368.03</v>
      </c>
      <c r="D14" s="318">
        <f>108136686.88</f>
        <v>108136686.88</v>
      </c>
      <c r="E14" s="316">
        <f>108462495.7</f>
        <v>108462495.7</v>
      </c>
      <c r="F14" s="316">
        <f>0</f>
        <v>0</v>
      </c>
      <c r="G14" s="316">
        <f>21069.46</f>
        <v>21069.46</v>
      </c>
      <c r="H14" s="316">
        <f>551809.77</f>
        <v>551809.77</v>
      </c>
      <c r="I14" s="316">
        <f>696827.61</f>
        <v>696827.61</v>
      </c>
      <c r="J14" s="316">
        <f>0</f>
        <v>0</v>
      </c>
      <c r="K14" s="317">
        <f t="shared" si="0"/>
        <v>0.08230820504704255</v>
      </c>
      <c r="L14" s="317">
        <f t="shared" si="1"/>
        <v>100.66496285931856</v>
      </c>
      <c r="M14" s="317">
        <f t="shared" si="2"/>
        <v>0.14586563859258905</v>
      </c>
    </row>
    <row r="15" spans="2:13" ht="22.5" customHeight="1">
      <c r="B15" s="315" t="s">
        <v>538</v>
      </c>
      <c r="C15" s="316">
        <f>204170672.73</f>
        <v>204170672.73</v>
      </c>
      <c r="D15" s="318">
        <f>313273315.33</f>
        <v>313273315.33</v>
      </c>
      <c r="E15" s="316">
        <f>317433862.22</f>
        <v>317433862.22</v>
      </c>
      <c r="F15" s="316">
        <f>0</f>
        <v>0</v>
      </c>
      <c r="G15" s="316">
        <f>89462.98</f>
        <v>89462.98</v>
      </c>
      <c r="H15" s="316">
        <f>7085729.74</f>
        <v>7085729.74</v>
      </c>
      <c r="I15" s="316">
        <f>12737488.64</f>
        <v>12737488.64</v>
      </c>
      <c r="J15" s="316">
        <f>0</f>
        <v>0</v>
      </c>
      <c r="K15" s="317">
        <f t="shared" si="0"/>
        <v>0.2384478849676817</v>
      </c>
      <c r="L15" s="317">
        <f t="shared" si="1"/>
        <v>153.43698051300436</v>
      </c>
      <c r="M15" s="317">
        <f t="shared" si="2"/>
        <v>0.42257455367887237</v>
      </c>
    </row>
    <row r="16" spans="2:13" ht="22.5" customHeight="1">
      <c r="B16" s="315" t="s">
        <v>539</v>
      </c>
      <c r="C16" s="316">
        <f>1951646230.2</f>
        <v>1951646230.2</v>
      </c>
      <c r="D16" s="318">
        <f>2608633583.71</f>
        <v>2608633583.71</v>
      </c>
      <c r="E16" s="316">
        <f>2627877497.63</f>
        <v>2627877497.63</v>
      </c>
      <c r="F16" s="316">
        <f>0</f>
        <v>0</v>
      </c>
      <c r="G16" s="316">
        <f>7580</f>
        <v>7580</v>
      </c>
      <c r="H16" s="316">
        <f>207142.95</f>
        <v>207142.95</v>
      </c>
      <c r="I16" s="316">
        <f>569772.88</f>
        <v>569772.88</v>
      </c>
      <c r="J16" s="316">
        <f>0</f>
        <v>0</v>
      </c>
      <c r="K16" s="317">
        <f t="shared" si="0"/>
        <v>1.9855606279011617</v>
      </c>
      <c r="L16" s="317">
        <f t="shared" si="1"/>
        <v>133.66323995320982</v>
      </c>
      <c r="M16" s="317">
        <f t="shared" si="2"/>
        <v>3.5187873285242017</v>
      </c>
    </row>
    <row r="17" spans="2:13" ht="13.5" customHeight="1">
      <c r="B17" s="315" t="s">
        <v>540</v>
      </c>
      <c r="C17" s="316">
        <f>601431014.34</f>
        <v>601431014.34</v>
      </c>
      <c r="D17" s="318">
        <f>600762762.6</f>
        <v>600762762.6</v>
      </c>
      <c r="E17" s="316">
        <f>597236065.52</f>
        <v>597236065.52</v>
      </c>
      <c r="F17" s="316">
        <f>0</f>
        <v>0</v>
      </c>
      <c r="G17" s="316">
        <f>3100</f>
        <v>3100</v>
      </c>
      <c r="H17" s="316">
        <f>45174.91</f>
        <v>45174.91</v>
      </c>
      <c r="I17" s="316">
        <f>19080.4</f>
        <v>19080.4</v>
      </c>
      <c r="J17" s="316">
        <f>0</f>
        <v>0</v>
      </c>
      <c r="K17" s="317">
        <f t="shared" si="0"/>
        <v>0.4572703869093103</v>
      </c>
      <c r="L17" s="317">
        <f t="shared" si="1"/>
        <v>99.88888971069552</v>
      </c>
      <c r="M17" s="317">
        <f t="shared" si="2"/>
        <v>0.8103692330295017</v>
      </c>
    </row>
    <row r="18" spans="2:13" ht="22.5" customHeight="1">
      <c r="B18" s="315" t="s">
        <v>541</v>
      </c>
      <c r="C18" s="316">
        <f>213320688.37</f>
        <v>213320688.37</v>
      </c>
      <c r="D18" s="318">
        <f>221635635.8</f>
        <v>221635635.8</v>
      </c>
      <c r="E18" s="316">
        <f>221461083.83</f>
        <v>221461083.83</v>
      </c>
      <c r="F18" s="316">
        <f>0</f>
        <v>0</v>
      </c>
      <c r="G18" s="316">
        <f>2956.58</f>
        <v>2956.58</v>
      </c>
      <c r="H18" s="316">
        <f>318751.39</f>
        <v>318751.39</v>
      </c>
      <c r="I18" s="316">
        <f>130801</f>
        <v>130801</v>
      </c>
      <c r="J18" s="316">
        <f>37367.07</f>
        <v>37367.07</v>
      </c>
      <c r="K18" s="317">
        <f t="shared" si="0"/>
        <v>0.16869789415133266</v>
      </c>
      <c r="L18" s="317">
        <f t="shared" si="1"/>
        <v>103.89786264686053</v>
      </c>
      <c r="M18" s="317">
        <f t="shared" si="2"/>
        <v>0.2989644355085266</v>
      </c>
    </row>
    <row r="19" spans="2:13" ht="13.5" customHeight="1">
      <c r="B19" s="315" t="s">
        <v>542</v>
      </c>
      <c r="C19" s="316">
        <f>227047175.45</f>
        <v>227047175.45</v>
      </c>
      <c r="D19" s="318">
        <f>224438609.22</f>
        <v>224438609.22</v>
      </c>
      <c r="E19" s="316">
        <f>223387143.01</f>
        <v>223387143.01</v>
      </c>
      <c r="F19" s="316">
        <f>14669010.29</f>
        <v>14669010.29</v>
      </c>
      <c r="G19" s="316">
        <f>8004</f>
        <v>8004</v>
      </c>
      <c r="H19" s="316">
        <f>829308.28</f>
        <v>829308.28</v>
      </c>
      <c r="I19" s="316">
        <f>81081.68</f>
        <v>81081.68</v>
      </c>
      <c r="J19" s="316">
        <f>0</f>
        <v>0</v>
      </c>
      <c r="K19" s="317">
        <f t="shared" si="0"/>
        <v>0.17083137648421373</v>
      </c>
      <c r="L19" s="317">
        <f t="shared" si="1"/>
        <v>98.8510906489676</v>
      </c>
      <c r="M19" s="317">
        <f t="shared" si="2"/>
        <v>0.3027453679530361</v>
      </c>
    </row>
    <row r="20" spans="2:13" ht="13.5" customHeight="1">
      <c r="B20" s="315" t="s">
        <v>543</v>
      </c>
      <c r="C20" s="316">
        <f>6176825168.74</f>
        <v>6176825168.74</v>
      </c>
      <c r="D20" s="318">
        <f>6393677506.85</f>
        <v>6393677506.85</v>
      </c>
      <c r="E20" s="316">
        <f>6190239071.26</f>
        <v>6190239071.26</v>
      </c>
      <c r="F20" s="316">
        <f>0</f>
        <v>0</v>
      </c>
      <c r="G20" s="316">
        <f>189977.42</f>
        <v>189977.42</v>
      </c>
      <c r="H20" s="316">
        <f>32239.74</f>
        <v>32239.74</v>
      </c>
      <c r="I20" s="316">
        <f>29952.15</f>
        <v>29952.15</v>
      </c>
      <c r="J20" s="316">
        <f>96387.69</f>
        <v>96387.69</v>
      </c>
      <c r="K20" s="317">
        <f t="shared" si="0"/>
        <v>4.866545613908618</v>
      </c>
      <c r="L20" s="317">
        <f t="shared" si="1"/>
        <v>103.51074107144004</v>
      </c>
      <c r="M20" s="317">
        <f t="shared" si="2"/>
        <v>8.624435234701432</v>
      </c>
    </row>
    <row r="21" spans="2:13" ht="13.5" customHeight="1">
      <c r="B21" s="315" t="s">
        <v>544</v>
      </c>
      <c r="C21" s="316">
        <f aca="true" t="shared" si="3" ref="C21:J21">C7-C8-C9-C10-C11-C12-C13-C14-C15-C16-C17-C18-C19-C20</f>
        <v>16736138297.730005</v>
      </c>
      <c r="D21" s="316">
        <f t="shared" si="3"/>
        <v>15843967157.030016</v>
      </c>
      <c r="E21" s="316">
        <f t="shared" si="3"/>
        <v>15396645410.179987</v>
      </c>
      <c r="F21" s="316">
        <f t="shared" si="3"/>
        <v>6270437.080000006</v>
      </c>
      <c r="G21" s="316">
        <f t="shared" si="3"/>
        <v>7269794.539999983</v>
      </c>
      <c r="H21" s="316">
        <f t="shared" si="3"/>
        <v>46610037.25000004</v>
      </c>
      <c r="I21" s="316">
        <f t="shared" si="3"/>
        <v>17431825.899999995</v>
      </c>
      <c r="J21" s="316">
        <f t="shared" si="3"/>
        <v>27343806.779999997</v>
      </c>
      <c r="K21" s="317">
        <f t="shared" si="0"/>
        <v>12.059630594809976</v>
      </c>
      <c r="L21" s="317">
        <f t="shared" si="1"/>
        <v>94.66919354495896</v>
      </c>
      <c r="M21" s="317">
        <f t="shared" si="2"/>
        <v>21.37193633243844</v>
      </c>
    </row>
    <row r="22" spans="2:13" ht="25.5" customHeight="1">
      <c r="B22" s="312" t="s">
        <v>545</v>
      </c>
      <c r="C22" s="313">
        <f>C23+C25+C27+C29+C31</f>
        <v>21920071007.49</v>
      </c>
      <c r="D22" s="313">
        <f>D23+D25+D27+D29+D31</f>
        <v>20491903878.679996</v>
      </c>
      <c r="E22" s="313">
        <f>E23+E25+E27+E29+E31</f>
        <v>20516881683.969997</v>
      </c>
      <c r="F22" s="316" t="s">
        <v>546</v>
      </c>
      <c r="G22" s="316" t="s">
        <v>546</v>
      </c>
      <c r="H22" s="316" t="s">
        <v>546</v>
      </c>
      <c r="I22" s="316" t="s">
        <v>546</v>
      </c>
      <c r="J22" s="316" t="s">
        <v>546</v>
      </c>
      <c r="K22" s="314">
        <f t="shared" si="0"/>
        <v>15.597406161725377</v>
      </c>
      <c r="L22" s="314">
        <f t="shared" si="1"/>
        <v>93.48466011664833</v>
      </c>
      <c r="M22" s="319"/>
    </row>
    <row r="23" spans="2:13" ht="22.5" customHeight="1">
      <c r="B23" s="315" t="s">
        <v>547</v>
      </c>
      <c r="C23" s="316">
        <f>14307934270.09</f>
        <v>14307934270.09</v>
      </c>
      <c r="D23" s="316">
        <f>13668643226.23</f>
        <v>13668643226.23</v>
      </c>
      <c r="E23" s="316">
        <f>13683859339.25</f>
        <v>13683859339.25</v>
      </c>
      <c r="F23" s="316" t="s">
        <v>546</v>
      </c>
      <c r="G23" s="316" t="s">
        <v>546</v>
      </c>
      <c r="H23" s="316" t="s">
        <v>546</v>
      </c>
      <c r="I23" s="316" t="s">
        <v>546</v>
      </c>
      <c r="J23" s="316" t="s">
        <v>546</v>
      </c>
      <c r="K23" s="317">
        <f t="shared" si="0"/>
        <v>10.403883472293488</v>
      </c>
      <c r="L23" s="317">
        <f t="shared" si="1"/>
        <v>95.53191235162154</v>
      </c>
      <c r="M23" s="319"/>
    </row>
    <row r="24" spans="2:13" ht="13.5" customHeight="1">
      <c r="B24" s="320" t="s">
        <v>548</v>
      </c>
      <c r="C24" s="316">
        <f>819581412</f>
        <v>819581412</v>
      </c>
      <c r="D24" s="316">
        <f>622933332.98</f>
        <v>622933332.98</v>
      </c>
      <c r="E24" s="316">
        <f>623004124.4</f>
        <v>623004124.4</v>
      </c>
      <c r="F24" s="316" t="s">
        <v>546</v>
      </c>
      <c r="G24" s="316" t="s">
        <v>546</v>
      </c>
      <c r="H24" s="316" t="s">
        <v>546</v>
      </c>
      <c r="I24" s="316" t="s">
        <v>546</v>
      </c>
      <c r="J24" s="316" t="s">
        <v>546</v>
      </c>
      <c r="K24" s="317">
        <f t="shared" si="0"/>
        <v>0.47414550954804946</v>
      </c>
      <c r="L24" s="317">
        <f t="shared" si="1"/>
        <v>76.00627879784076</v>
      </c>
      <c r="M24" s="319"/>
    </row>
    <row r="25" spans="2:13" ht="13.5" customHeight="1">
      <c r="B25" s="315" t="s">
        <v>549</v>
      </c>
      <c r="C25" s="316">
        <f>5563949761.7</f>
        <v>5563949761.7</v>
      </c>
      <c r="D25" s="316">
        <f>4906740798.57</f>
        <v>4906740798.57</v>
      </c>
      <c r="E25" s="316">
        <f>4919657952.93</f>
        <v>4919657952.93</v>
      </c>
      <c r="F25" s="316" t="s">
        <v>546</v>
      </c>
      <c r="G25" s="316" t="s">
        <v>546</v>
      </c>
      <c r="H25" s="316" t="s">
        <v>546</v>
      </c>
      <c r="I25" s="316" t="s">
        <v>546</v>
      </c>
      <c r="J25" s="316" t="s">
        <v>546</v>
      </c>
      <c r="K25" s="317">
        <f t="shared" si="0"/>
        <v>3.7347642082798465</v>
      </c>
      <c r="L25" s="317">
        <f t="shared" si="1"/>
        <v>88.18808595911554</v>
      </c>
      <c r="M25" s="319"/>
    </row>
    <row r="26" spans="2:13" ht="13.5" customHeight="1">
      <c r="B26" s="320" t="s">
        <v>548</v>
      </c>
      <c r="C26" s="316">
        <f>1333026260.75</f>
        <v>1333026260.75</v>
      </c>
      <c r="D26" s="316">
        <f>926389936.16</f>
        <v>926389936.16</v>
      </c>
      <c r="E26" s="316">
        <f>925147725.84</f>
        <v>925147725.84</v>
      </c>
      <c r="F26" s="316" t="s">
        <v>546</v>
      </c>
      <c r="G26" s="316" t="s">
        <v>546</v>
      </c>
      <c r="H26" s="316" t="s">
        <v>546</v>
      </c>
      <c r="I26" s="316" t="s">
        <v>546</v>
      </c>
      <c r="J26" s="316" t="s">
        <v>546</v>
      </c>
      <c r="K26" s="317">
        <f t="shared" si="0"/>
        <v>0.7051214071648829</v>
      </c>
      <c r="L26" s="317">
        <f t="shared" si="1"/>
        <v>69.49525027652386</v>
      </c>
      <c r="M26" s="319"/>
    </row>
    <row r="27" spans="2:13" ht="33" customHeight="1">
      <c r="B27" s="315" t="s">
        <v>550</v>
      </c>
      <c r="C27" s="316">
        <f>242739081.13</f>
        <v>242739081.13</v>
      </c>
      <c r="D27" s="316">
        <f>209198277.57</f>
        <v>209198277.57</v>
      </c>
      <c r="E27" s="316">
        <f>209902949.44</f>
        <v>209902949.44</v>
      </c>
      <c r="F27" s="316" t="s">
        <v>546</v>
      </c>
      <c r="G27" s="316" t="s">
        <v>546</v>
      </c>
      <c r="H27" s="316" t="s">
        <v>546</v>
      </c>
      <c r="I27" s="316" t="s">
        <v>546</v>
      </c>
      <c r="J27" s="316" t="s">
        <v>546</v>
      </c>
      <c r="K27" s="317">
        <f t="shared" si="0"/>
        <v>0.15923120286482817</v>
      </c>
      <c r="L27" s="317">
        <f t="shared" si="1"/>
        <v>86.1823636293502</v>
      </c>
      <c r="M27" s="319"/>
    </row>
    <row r="28" spans="2:13" ht="13.5" customHeight="1">
      <c r="B28" s="320" t="s">
        <v>548</v>
      </c>
      <c r="C28" s="316">
        <f>119302280.35</f>
        <v>119302280.35</v>
      </c>
      <c r="D28" s="316">
        <f>89580103.78</f>
        <v>89580103.78</v>
      </c>
      <c r="E28" s="316">
        <f>89651268.88</f>
        <v>89651268.88</v>
      </c>
      <c r="F28" s="316" t="s">
        <v>546</v>
      </c>
      <c r="G28" s="316" t="s">
        <v>546</v>
      </c>
      <c r="H28" s="316" t="s">
        <v>546</v>
      </c>
      <c r="I28" s="316" t="s">
        <v>546</v>
      </c>
      <c r="J28" s="316" t="s">
        <v>546</v>
      </c>
      <c r="K28" s="317">
        <f t="shared" si="0"/>
        <v>0.06818386768443956</v>
      </c>
      <c r="L28" s="317">
        <f t="shared" si="1"/>
        <v>75.08666516448527</v>
      </c>
      <c r="M28" s="319"/>
    </row>
    <row r="29" spans="2:13" ht="33" customHeight="1">
      <c r="B29" s="315" t="s">
        <v>551</v>
      </c>
      <c r="C29" s="316">
        <f>1235977799</f>
        <v>1235977799</v>
      </c>
      <c r="D29" s="316">
        <f>1180516686.08</f>
        <v>1180516686.08</v>
      </c>
      <c r="E29" s="316">
        <f>1177961234.82</f>
        <v>1177961234.82</v>
      </c>
      <c r="F29" s="316" t="s">
        <v>546</v>
      </c>
      <c r="G29" s="316" t="s">
        <v>546</v>
      </c>
      <c r="H29" s="316" t="s">
        <v>546</v>
      </c>
      <c r="I29" s="316" t="s">
        <v>546</v>
      </c>
      <c r="J29" s="316" t="s">
        <v>546</v>
      </c>
      <c r="K29" s="314">
        <f t="shared" si="0"/>
        <v>0.8985499025613184</v>
      </c>
      <c r="L29" s="317">
        <f t="shared" si="1"/>
        <v>95.51277434231649</v>
      </c>
      <c r="M29" s="319"/>
    </row>
    <row r="30" spans="2:13" ht="13.5" customHeight="1">
      <c r="B30" s="320" t="s">
        <v>548</v>
      </c>
      <c r="C30" s="316">
        <f>436569874.06</f>
        <v>436569874.06</v>
      </c>
      <c r="D30" s="316">
        <f>394421846.56</f>
        <v>394421846.56</v>
      </c>
      <c r="E30" s="316">
        <f>394206533.62</f>
        <v>394206533.62</v>
      </c>
      <c r="F30" s="316" t="s">
        <v>546</v>
      </c>
      <c r="G30" s="316" t="s">
        <v>546</v>
      </c>
      <c r="H30" s="316" t="s">
        <v>546</v>
      </c>
      <c r="I30" s="316" t="s">
        <v>546</v>
      </c>
      <c r="J30" s="316" t="s">
        <v>546</v>
      </c>
      <c r="K30" s="317">
        <f t="shared" si="0"/>
        <v>0.30021406387010285</v>
      </c>
      <c r="L30" s="317">
        <f t="shared" si="1"/>
        <v>90.3456399526534</v>
      </c>
      <c r="M30" s="319"/>
    </row>
    <row r="31" spans="2:13" ht="22.5" customHeight="1">
      <c r="B31" s="315" t="s">
        <v>552</v>
      </c>
      <c r="C31" s="316">
        <f>569470095.57</f>
        <v>569470095.57</v>
      </c>
      <c r="D31" s="316">
        <f>526804890.23</f>
        <v>526804890.23</v>
      </c>
      <c r="E31" s="316">
        <f>525500207.53</f>
        <v>525500207.53</v>
      </c>
      <c r="F31" s="316" t="s">
        <v>546</v>
      </c>
      <c r="G31" s="316" t="s">
        <v>546</v>
      </c>
      <c r="H31" s="316" t="s">
        <v>546</v>
      </c>
      <c r="I31" s="316" t="s">
        <v>546</v>
      </c>
      <c r="J31" s="316" t="s">
        <v>546</v>
      </c>
      <c r="K31" s="317">
        <f t="shared" si="0"/>
        <v>0.4009773757258983</v>
      </c>
      <c r="L31" s="317">
        <f t="shared" si="1"/>
        <v>92.50791118411668</v>
      </c>
      <c r="M31" s="319"/>
    </row>
    <row r="32" spans="2:13" ht="13.5" customHeight="1">
      <c r="B32" s="320" t="s">
        <v>548</v>
      </c>
      <c r="C32" s="316">
        <f>410868025.29</f>
        <v>410868025.29</v>
      </c>
      <c r="D32" s="316">
        <f>377644938.55</f>
        <v>377644938.55</v>
      </c>
      <c r="E32" s="316">
        <f>376946885.6</f>
        <v>376946885.6</v>
      </c>
      <c r="F32" s="316" t="s">
        <v>546</v>
      </c>
      <c r="G32" s="316" t="s">
        <v>546</v>
      </c>
      <c r="H32" s="316" t="s">
        <v>546</v>
      </c>
      <c r="I32" s="316" t="s">
        <v>546</v>
      </c>
      <c r="J32" s="316" t="s">
        <v>546</v>
      </c>
      <c r="K32" s="317">
        <f t="shared" si="0"/>
        <v>0.2874443256398682</v>
      </c>
      <c r="L32" s="317">
        <f t="shared" si="1"/>
        <v>91.91392741828707</v>
      </c>
      <c r="M32" s="319"/>
    </row>
    <row r="33" spans="2:13" ht="25.5" customHeight="1">
      <c r="B33" s="312" t="s">
        <v>553</v>
      </c>
      <c r="C33" s="313">
        <f>C34+C35+C36+C37+C38+C39</f>
        <v>36747864736</v>
      </c>
      <c r="D33" s="313">
        <f>D34+D35+D36+D37+D38+D39</f>
        <v>36753850517.04</v>
      </c>
      <c r="E33" s="313">
        <f>E34+E35+E36+E37+E38+E39</f>
        <v>36855021491.94</v>
      </c>
      <c r="F33" s="316" t="s">
        <v>546</v>
      </c>
      <c r="G33" s="316" t="s">
        <v>546</v>
      </c>
      <c r="H33" s="316" t="s">
        <v>546</v>
      </c>
      <c r="I33" s="316" t="s">
        <v>546</v>
      </c>
      <c r="J33" s="316" t="s">
        <v>546</v>
      </c>
      <c r="K33" s="314">
        <f t="shared" si="0"/>
        <v>27.975181706666312</v>
      </c>
      <c r="L33" s="314">
        <f t="shared" si="1"/>
        <v>100.01628878598254</v>
      </c>
      <c r="M33" s="319"/>
    </row>
    <row r="34" spans="2:13" ht="13.5" customHeight="1">
      <c r="B34" s="315" t="s">
        <v>554</v>
      </c>
      <c r="C34" s="316">
        <f>6208201130</f>
        <v>6208201130</v>
      </c>
      <c r="D34" s="316">
        <f>6212641143</f>
        <v>6212641143</v>
      </c>
      <c r="E34" s="316">
        <f>6205367314</f>
        <v>6205367314</v>
      </c>
      <c r="F34" s="316" t="s">
        <v>546</v>
      </c>
      <c r="G34" s="316" t="s">
        <v>546</v>
      </c>
      <c r="H34" s="316" t="s">
        <v>546</v>
      </c>
      <c r="I34" s="316" t="s">
        <v>546</v>
      </c>
      <c r="J34" s="316" t="s">
        <v>546</v>
      </c>
      <c r="K34" s="317">
        <f t="shared" si="0"/>
        <v>4.728749842772479</v>
      </c>
      <c r="L34" s="317">
        <f t="shared" si="1"/>
        <v>100.07151851087015</v>
      </c>
      <c r="M34" s="319"/>
    </row>
    <row r="35" spans="2:13" ht="13.5" customHeight="1">
      <c r="B35" s="315" t="s">
        <v>555</v>
      </c>
      <c r="C35" s="316">
        <f>28204869369</f>
        <v>28204869369</v>
      </c>
      <c r="D35" s="316">
        <f>28205025446</f>
        <v>28205025446</v>
      </c>
      <c r="E35" s="316">
        <f>28313478530.9</f>
        <v>28313478530.9</v>
      </c>
      <c r="F35" s="316" t="s">
        <v>546</v>
      </c>
      <c r="G35" s="316" t="s">
        <v>546</v>
      </c>
      <c r="H35" s="316" t="s">
        <v>546</v>
      </c>
      <c r="I35" s="316" t="s">
        <v>546</v>
      </c>
      <c r="J35" s="316" t="s">
        <v>546</v>
      </c>
      <c r="K35" s="317">
        <f t="shared" si="0"/>
        <v>21.468246205310603</v>
      </c>
      <c r="L35" s="317">
        <f t="shared" si="1"/>
        <v>100.00055336898731</v>
      </c>
      <c r="M35" s="319"/>
    </row>
    <row r="36" spans="2:13" ht="13.5" customHeight="1">
      <c r="B36" s="315" t="s">
        <v>556</v>
      </c>
      <c r="C36" s="316">
        <f>9709096</f>
        <v>9709096</v>
      </c>
      <c r="D36" s="316">
        <f>9709096</f>
        <v>9709096</v>
      </c>
      <c r="E36" s="316">
        <f>9709096</f>
        <v>9709096</v>
      </c>
      <c r="F36" s="316" t="s">
        <v>546</v>
      </c>
      <c r="G36" s="316" t="s">
        <v>546</v>
      </c>
      <c r="H36" s="316" t="s">
        <v>546</v>
      </c>
      <c r="I36" s="316" t="s">
        <v>546</v>
      </c>
      <c r="J36" s="316" t="s">
        <v>546</v>
      </c>
      <c r="K36" s="317">
        <f t="shared" si="0"/>
        <v>0.007390075352282891</v>
      </c>
      <c r="L36" s="317">
        <f t="shared" si="1"/>
        <v>100</v>
      </c>
      <c r="M36" s="319"/>
    </row>
    <row r="37" spans="2:13" ht="13.5" customHeight="1">
      <c r="B37" s="315" t="s">
        <v>557</v>
      </c>
      <c r="C37" s="316">
        <f>1248444837</f>
        <v>1248444837</v>
      </c>
      <c r="D37" s="316">
        <f>1248466655.04</f>
        <v>1248466655.04</v>
      </c>
      <c r="E37" s="316">
        <f>1248463570.04</f>
        <v>1248463570.04</v>
      </c>
      <c r="F37" s="316" t="s">
        <v>546</v>
      </c>
      <c r="G37" s="316" t="s">
        <v>546</v>
      </c>
      <c r="H37" s="316" t="s">
        <v>546</v>
      </c>
      <c r="I37" s="316" t="s">
        <v>546</v>
      </c>
      <c r="J37" s="316" t="s">
        <v>546</v>
      </c>
      <c r="K37" s="317">
        <f t="shared" si="0"/>
        <v>0.9502699999627329</v>
      </c>
      <c r="L37" s="317">
        <f t="shared" si="1"/>
        <v>100.00174761746402</v>
      </c>
      <c r="M37" s="319"/>
    </row>
    <row r="38" spans="2:13" ht="13.5" customHeight="1">
      <c r="B38" s="321" t="s">
        <v>558</v>
      </c>
      <c r="C38" s="316">
        <f>642325002</f>
        <v>642325002</v>
      </c>
      <c r="D38" s="316">
        <f>642325002</f>
        <v>642325002</v>
      </c>
      <c r="E38" s="316">
        <f>642325002</f>
        <v>642325002</v>
      </c>
      <c r="F38" s="316" t="s">
        <v>546</v>
      </c>
      <c r="G38" s="316" t="s">
        <v>546</v>
      </c>
      <c r="H38" s="316" t="s">
        <v>546</v>
      </c>
      <c r="I38" s="316" t="s">
        <v>546</v>
      </c>
      <c r="J38" s="316" t="s">
        <v>546</v>
      </c>
      <c r="K38" s="322">
        <f t="shared" si="0"/>
        <v>0.4889054722947696</v>
      </c>
      <c r="L38" s="322">
        <f t="shared" si="1"/>
        <v>100</v>
      </c>
      <c r="M38" s="319"/>
    </row>
    <row r="39" spans="2:13" ht="22.5" customHeight="1">
      <c r="B39" s="315" t="s">
        <v>559</v>
      </c>
      <c r="C39" s="316">
        <f>434315302</f>
        <v>434315302</v>
      </c>
      <c r="D39" s="316">
        <f>435683175</f>
        <v>435683175</v>
      </c>
      <c r="E39" s="316">
        <f>435677979</f>
        <v>435677979</v>
      </c>
      <c r="F39" s="316" t="s">
        <v>546</v>
      </c>
      <c r="G39" s="316" t="s">
        <v>546</v>
      </c>
      <c r="H39" s="316" t="s">
        <v>546</v>
      </c>
      <c r="I39" s="316" t="s">
        <v>546</v>
      </c>
      <c r="J39" s="316" t="s">
        <v>546</v>
      </c>
      <c r="K39" s="317">
        <f t="shared" si="0"/>
        <v>0.3316201109734473</v>
      </c>
      <c r="L39" s="317">
        <f t="shared" si="1"/>
        <v>100.31494929920751</v>
      </c>
      <c r="M39" s="319"/>
    </row>
    <row r="40" spans="1:13" ht="13.5" customHeight="1">
      <c r="A40" s="323"/>
      <c r="B40" s="324"/>
      <c r="C40" s="325"/>
      <c r="D40" s="326"/>
      <c r="E40" s="326"/>
      <c r="F40" s="327"/>
      <c r="G40" s="327"/>
      <c r="H40" s="327"/>
      <c r="I40" s="327"/>
      <c r="J40" s="327"/>
      <c r="K40" s="328"/>
      <c r="L40" s="328"/>
      <c r="M40" s="329"/>
    </row>
    <row r="41" spans="2:27" ht="29.25" customHeight="1">
      <c r="B41" s="419" t="s">
        <v>525</v>
      </c>
      <c r="C41" s="406" t="s">
        <v>618</v>
      </c>
      <c r="D41" s="406" t="s">
        <v>619</v>
      </c>
      <c r="E41" s="406" t="s">
        <v>620</v>
      </c>
      <c r="F41" s="406" t="s">
        <v>560</v>
      </c>
      <c r="G41" s="406"/>
      <c r="H41" s="406"/>
      <c r="I41" s="406" t="s">
        <v>621</v>
      </c>
      <c r="J41" s="406"/>
      <c r="K41" s="406" t="s">
        <v>526</v>
      </c>
      <c r="L41" s="416" t="s">
        <v>561</v>
      </c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</row>
    <row r="42" spans="2:27" ht="18" customHeight="1">
      <c r="B42" s="419"/>
      <c r="C42" s="406"/>
      <c r="D42" s="412"/>
      <c r="E42" s="406"/>
      <c r="F42" s="417" t="s">
        <v>622</v>
      </c>
      <c r="G42" s="418" t="s">
        <v>562</v>
      </c>
      <c r="H42" s="412"/>
      <c r="I42" s="406"/>
      <c r="J42" s="406"/>
      <c r="K42" s="406"/>
      <c r="L42" s="416"/>
      <c r="M42" s="331"/>
      <c r="N42" s="332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</row>
    <row r="43" spans="2:27" ht="36" customHeight="1">
      <c r="B43" s="419"/>
      <c r="C43" s="406"/>
      <c r="D43" s="412"/>
      <c r="E43" s="406"/>
      <c r="F43" s="412"/>
      <c r="G43" s="309" t="s">
        <v>623</v>
      </c>
      <c r="H43" s="309" t="s">
        <v>624</v>
      </c>
      <c r="I43" s="406"/>
      <c r="J43" s="406"/>
      <c r="K43" s="406"/>
      <c r="L43" s="416"/>
      <c r="M43" s="331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</row>
    <row r="44" spans="2:27" ht="13.5" customHeight="1">
      <c r="B44" s="419"/>
      <c r="C44" s="415"/>
      <c r="D44" s="415"/>
      <c r="E44" s="415"/>
      <c r="F44" s="415"/>
      <c r="G44" s="415"/>
      <c r="H44" s="415"/>
      <c r="I44" s="415"/>
      <c r="J44" s="415"/>
      <c r="K44" s="415" t="s">
        <v>12</v>
      </c>
      <c r="L44" s="415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</row>
    <row r="45" spans="2:27" ht="11.25" customHeight="1">
      <c r="B45" s="308">
        <v>1</v>
      </c>
      <c r="C45" s="310">
        <v>2</v>
      </c>
      <c r="D45" s="310">
        <v>3</v>
      </c>
      <c r="E45" s="310">
        <v>4</v>
      </c>
      <c r="F45" s="308">
        <v>5</v>
      </c>
      <c r="G45" s="308">
        <v>6</v>
      </c>
      <c r="H45" s="310">
        <v>7</v>
      </c>
      <c r="I45" s="412">
        <v>8</v>
      </c>
      <c r="J45" s="412"/>
      <c r="K45" s="308">
        <v>9</v>
      </c>
      <c r="L45" s="310">
        <v>10</v>
      </c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</row>
    <row r="46" spans="2:12" ht="25.5" customHeight="1">
      <c r="B46" s="312" t="s">
        <v>563</v>
      </c>
      <c r="C46" s="306">
        <f>138292037340.3</f>
        <v>138292037340.3</v>
      </c>
      <c r="D46" s="306">
        <f>129353123558.39</f>
        <v>129353123558.39</v>
      </c>
      <c r="E46" s="306">
        <f>129113085417.34</f>
        <v>129113085417.34</v>
      </c>
      <c r="F46" s="306">
        <f>4793792656.95</f>
        <v>4793792656.95</v>
      </c>
      <c r="G46" s="306">
        <f>14360273.41</f>
        <v>14360273.41</v>
      </c>
      <c r="H46" s="306">
        <f>49596554.96</f>
        <v>49596554.96</v>
      </c>
      <c r="I46" s="408">
        <f>2224126830.08</f>
        <v>2224126830.08</v>
      </c>
      <c r="J46" s="408"/>
      <c r="K46" s="333">
        <f aca="true" t="shared" si="4" ref="K46:K56">IF($E$46=0,"",100*$E46/$E$46)</f>
        <v>100</v>
      </c>
      <c r="L46" s="333">
        <f aca="true" t="shared" si="5" ref="L46:L56">IF(C46=0,"",100*E46/C46)</f>
        <v>93.36263164568686</v>
      </c>
    </row>
    <row r="47" spans="2:12" ht="24" customHeight="1">
      <c r="B47" s="312" t="s">
        <v>564</v>
      </c>
      <c r="C47" s="307">
        <f>31754032219.05</f>
        <v>31754032219.05</v>
      </c>
      <c r="D47" s="307">
        <f>27163289591.87</f>
        <v>27163289591.87</v>
      </c>
      <c r="E47" s="307">
        <f>27066475105.31</f>
        <v>27066475105.31</v>
      </c>
      <c r="F47" s="307">
        <f>669192276.43</f>
        <v>669192276.43</v>
      </c>
      <c r="G47" s="307">
        <f>5359965.89</f>
        <v>5359965.89</v>
      </c>
      <c r="H47" s="307">
        <f>11785836.1</f>
        <v>11785836.1</v>
      </c>
      <c r="I47" s="410">
        <f>1974910494.75</f>
        <v>1974910494.75</v>
      </c>
      <c r="J47" s="410"/>
      <c r="K47" s="333">
        <f t="shared" si="4"/>
        <v>20.963386490084567</v>
      </c>
      <c r="L47" s="333">
        <f t="shared" si="5"/>
        <v>85.2379153570052</v>
      </c>
    </row>
    <row r="48" spans="2:12" ht="22.5" customHeight="1">
      <c r="B48" s="315" t="s">
        <v>565</v>
      </c>
      <c r="C48" s="316">
        <f>30918326249.71</f>
        <v>30918326249.71</v>
      </c>
      <c r="D48" s="316">
        <f>26354311181.46</f>
        <v>26354311181.46</v>
      </c>
      <c r="E48" s="316">
        <f>26257500544.9</f>
        <v>26257500544.9</v>
      </c>
      <c r="F48" s="316">
        <f>668505872.3</f>
        <v>668505872.3</v>
      </c>
      <c r="G48" s="316">
        <f>5356215.89</f>
        <v>5356215.89</v>
      </c>
      <c r="H48" s="316">
        <f>11785836.1</f>
        <v>11785836.1</v>
      </c>
      <c r="I48" s="409">
        <f>1931932270.75</f>
        <v>1931932270.75</v>
      </c>
      <c r="J48" s="409"/>
      <c r="K48" s="322">
        <f t="shared" si="4"/>
        <v>20.336823692212374</v>
      </c>
      <c r="L48" s="322">
        <f t="shared" si="5"/>
        <v>84.92536217139595</v>
      </c>
    </row>
    <row r="49" spans="2:12" ht="25.5" customHeight="1">
      <c r="B49" s="312" t="s">
        <v>566</v>
      </c>
      <c r="C49" s="307">
        <f aca="true" t="shared" si="6" ref="C49:I49">C46-C47</f>
        <v>106538005121.24998</v>
      </c>
      <c r="D49" s="307">
        <f t="shared" si="6"/>
        <v>102189833966.52</v>
      </c>
      <c r="E49" s="307">
        <f t="shared" si="6"/>
        <v>102046610312.03</v>
      </c>
      <c r="F49" s="307">
        <f t="shared" si="6"/>
        <v>4124600380.52</v>
      </c>
      <c r="G49" s="307">
        <f t="shared" si="6"/>
        <v>9000307.52</v>
      </c>
      <c r="H49" s="307">
        <f t="shared" si="6"/>
        <v>37810718.86</v>
      </c>
      <c r="I49" s="410">
        <f t="shared" si="6"/>
        <v>249216335.32999992</v>
      </c>
      <c r="J49" s="410"/>
      <c r="K49" s="333">
        <f t="shared" si="4"/>
        <v>79.03661350991544</v>
      </c>
      <c r="L49" s="333">
        <f t="shared" si="5"/>
        <v>95.78423229897315</v>
      </c>
    </row>
    <row r="50" spans="2:12" ht="13.5" customHeight="1">
      <c r="B50" s="315" t="s">
        <v>567</v>
      </c>
      <c r="C50" s="316">
        <f>38024821830.78</f>
        <v>38024821830.78</v>
      </c>
      <c r="D50" s="316">
        <f>37513757692.37</f>
        <v>37513757692.37</v>
      </c>
      <c r="E50" s="316">
        <f>37460299249.26</f>
        <v>37460299249.26</v>
      </c>
      <c r="F50" s="316">
        <f>2857376704.36</f>
        <v>2857376704.36</v>
      </c>
      <c r="G50" s="316">
        <f>134316.74</f>
        <v>134316.74</v>
      </c>
      <c r="H50" s="316">
        <f>5574544.45</f>
        <v>5574544.45</v>
      </c>
      <c r="I50" s="409">
        <f>5732143.59</f>
        <v>5732143.59</v>
      </c>
      <c r="J50" s="409"/>
      <c r="K50" s="322">
        <f t="shared" si="4"/>
        <v>29.013557478062598</v>
      </c>
      <c r="L50" s="322">
        <f t="shared" si="5"/>
        <v>98.51538401933277</v>
      </c>
    </row>
    <row r="51" spans="2:12" ht="22.5" customHeight="1">
      <c r="B51" s="320" t="s">
        <v>568</v>
      </c>
      <c r="C51" s="334">
        <f>34572322189.36</f>
        <v>34572322189.36</v>
      </c>
      <c r="D51" s="334">
        <f>34129542140.56</f>
        <v>34129542140.56</v>
      </c>
      <c r="E51" s="334">
        <f>34109936675.46</f>
        <v>34109936675.46</v>
      </c>
      <c r="F51" s="334">
        <f>401410004.41</f>
        <v>401410004.41</v>
      </c>
      <c r="G51" s="334">
        <f>113393.52</f>
        <v>113393.52</v>
      </c>
      <c r="H51" s="334">
        <f>3908300.2</f>
        <v>3908300.2</v>
      </c>
      <c r="I51" s="414">
        <f>1753605.64</f>
        <v>1753605.64</v>
      </c>
      <c r="J51" s="414"/>
      <c r="K51" s="322">
        <f t="shared" si="4"/>
        <v>26.418651963280407</v>
      </c>
      <c r="L51" s="322">
        <f t="shared" si="5"/>
        <v>98.66255581164778</v>
      </c>
    </row>
    <row r="52" spans="2:12" ht="13.5" customHeight="1">
      <c r="B52" s="315" t="s">
        <v>569</v>
      </c>
      <c r="C52" s="316">
        <f>7658921665.73</f>
        <v>7658921665.73</v>
      </c>
      <c r="D52" s="316">
        <f>7445174410.79</f>
        <v>7445174410.79</v>
      </c>
      <c r="E52" s="316">
        <f>7417209259.92</f>
        <v>7417209259.92</v>
      </c>
      <c r="F52" s="316">
        <f>656128752.44</f>
        <v>656128752.44</v>
      </c>
      <c r="G52" s="316">
        <f>1079018.46</f>
        <v>1079018.46</v>
      </c>
      <c r="H52" s="316">
        <f>3056194.6</f>
        <v>3056194.6</v>
      </c>
      <c r="I52" s="409">
        <f>1037591.97</f>
        <v>1037591.97</v>
      </c>
      <c r="J52" s="409"/>
      <c r="K52" s="322">
        <f t="shared" si="4"/>
        <v>5.744738603329715</v>
      </c>
      <c r="L52" s="322">
        <f t="shared" si="5"/>
        <v>96.84404128466875</v>
      </c>
    </row>
    <row r="53" spans="2:12" ht="13.5" customHeight="1">
      <c r="B53" s="315" t="s">
        <v>570</v>
      </c>
      <c r="C53" s="334">
        <f>11369079116.94</f>
        <v>11369079116.94</v>
      </c>
      <c r="D53" s="334">
        <f>11015131553.45</f>
        <v>11015131553.45</v>
      </c>
      <c r="E53" s="334">
        <f>11010461876.04</f>
        <v>11010461876.04</v>
      </c>
      <c r="F53" s="334">
        <f>2635205.62</f>
        <v>2635205.62</v>
      </c>
      <c r="G53" s="334">
        <f>171129</f>
        <v>171129</v>
      </c>
      <c r="H53" s="334">
        <f>271582.62</f>
        <v>271582.62</v>
      </c>
      <c r="I53" s="414">
        <f>21264620.56</f>
        <v>21264620.56</v>
      </c>
      <c r="J53" s="414"/>
      <c r="K53" s="322">
        <f t="shared" si="4"/>
        <v>8.527766059071567</v>
      </c>
      <c r="L53" s="322">
        <f t="shared" si="5"/>
        <v>96.8456790808531</v>
      </c>
    </row>
    <row r="54" spans="2:12" ht="13.5" customHeight="1">
      <c r="B54" s="315" t="s">
        <v>571</v>
      </c>
      <c r="C54" s="316">
        <f>1126026307.03</f>
        <v>1126026307.03</v>
      </c>
      <c r="D54" s="316">
        <f>997755608</f>
        <v>997755608</v>
      </c>
      <c r="E54" s="316">
        <f>994099266.8</f>
        <v>994099266.8</v>
      </c>
      <c r="F54" s="316">
        <f>19706355.81</f>
        <v>19706355.81</v>
      </c>
      <c r="G54" s="316">
        <f>0</f>
        <v>0</v>
      </c>
      <c r="H54" s="316">
        <f>61029.85</f>
        <v>61029.85</v>
      </c>
      <c r="I54" s="409">
        <f>10000</f>
        <v>10000</v>
      </c>
      <c r="J54" s="409"/>
      <c r="K54" s="322">
        <f t="shared" si="4"/>
        <v>0.7699446292269394</v>
      </c>
      <c r="L54" s="322">
        <f t="shared" si="5"/>
        <v>88.28384031471077</v>
      </c>
    </row>
    <row r="55" spans="2:12" ht="22.5" customHeight="1">
      <c r="B55" s="315" t="s">
        <v>572</v>
      </c>
      <c r="C55" s="334">
        <f>286679779.88</f>
        <v>286679779.88</v>
      </c>
      <c r="D55" s="334">
        <f>70767825.71</f>
        <v>70767825.71</v>
      </c>
      <c r="E55" s="334">
        <f>69115743.44</f>
        <v>69115743.44</v>
      </c>
      <c r="F55" s="334">
        <f>438028.64</f>
        <v>438028.64</v>
      </c>
      <c r="G55" s="334">
        <f>0</f>
        <v>0</v>
      </c>
      <c r="H55" s="334">
        <f>438028.64</f>
        <v>438028.64</v>
      </c>
      <c r="I55" s="414">
        <f>550000</f>
        <v>550000</v>
      </c>
      <c r="J55" s="414"/>
      <c r="K55" s="322">
        <f t="shared" si="4"/>
        <v>0.05353116860045055</v>
      </c>
      <c r="L55" s="322">
        <f t="shared" si="5"/>
        <v>24.10904022213595</v>
      </c>
    </row>
    <row r="56" spans="2:12" ht="13.5" customHeight="1">
      <c r="B56" s="315" t="s">
        <v>573</v>
      </c>
      <c r="C56" s="316">
        <f aca="true" t="shared" si="7" ref="C56:I56">C49-C50-C52-C53-C54-C55</f>
        <v>48072476420.88999</v>
      </c>
      <c r="D56" s="316">
        <f t="shared" si="7"/>
        <v>45147246876.200005</v>
      </c>
      <c r="E56" s="316">
        <f t="shared" si="7"/>
        <v>45095424916.56999</v>
      </c>
      <c r="F56" s="316">
        <f t="shared" si="7"/>
        <v>588315333.6499999</v>
      </c>
      <c r="G56" s="316">
        <f t="shared" si="7"/>
        <v>7615843.319999999</v>
      </c>
      <c r="H56" s="316">
        <f t="shared" si="7"/>
        <v>28409338.699999996</v>
      </c>
      <c r="I56" s="409">
        <f t="shared" si="7"/>
        <v>220621979.20999992</v>
      </c>
      <c r="J56" s="409">
        <f>J49-J50-J52-J53-J54</f>
        <v>0</v>
      </c>
      <c r="K56" s="322">
        <f t="shared" si="4"/>
        <v>34.92707557162416</v>
      </c>
      <c r="L56" s="322">
        <f t="shared" si="5"/>
        <v>93.80716009249251</v>
      </c>
    </row>
    <row r="57" spans="2:13" ht="24" customHeight="1">
      <c r="B57" s="312" t="s">
        <v>574</v>
      </c>
      <c r="C57" s="307">
        <f>C6-C46</f>
        <v>-8427558481.97998</v>
      </c>
      <c r="D57" s="307"/>
      <c r="E57" s="307">
        <f>D6-E46</f>
        <v>2267117586.9600067</v>
      </c>
      <c r="F57" s="307"/>
      <c r="G57" s="307"/>
      <c r="H57" s="307"/>
      <c r="I57" s="410"/>
      <c r="J57" s="410"/>
      <c r="K57" s="335"/>
      <c r="L57" s="335"/>
      <c r="M57" s="336"/>
    </row>
    <row r="58" spans="2:13" ht="12" customHeight="1">
      <c r="B58" s="337"/>
      <c r="C58" s="338"/>
      <c r="D58" s="338"/>
      <c r="E58" s="338"/>
      <c r="F58" s="329"/>
      <c r="G58" s="329"/>
      <c r="H58" s="329"/>
      <c r="I58" s="329"/>
      <c r="L58" s="330"/>
      <c r="M58" s="330"/>
    </row>
    <row r="59" spans="2:13" ht="12" customHeight="1">
      <c r="B59" s="337"/>
      <c r="C59" s="338"/>
      <c r="D59" s="338"/>
      <c r="E59" s="338"/>
      <c r="F59" s="329"/>
      <c r="G59" s="329"/>
      <c r="H59" s="329"/>
      <c r="I59" s="329"/>
      <c r="L59" s="330"/>
      <c r="M59" s="330"/>
    </row>
    <row r="60" spans="2:9" ht="18" customHeight="1">
      <c r="B60" s="411" t="s">
        <v>463</v>
      </c>
      <c r="C60" s="411"/>
      <c r="D60" s="412" t="s">
        <v>575</v>
      </c>
      <c r="E60" s="412"/>
      <c r="F60" s="412" t="s">
        <v>576</v>
      </c>
      <c r="G60" s="412"/>
      <c r="H60" s="310" t="s">
        <v>577</v>
      </c>
      <c r="I60" s="310" t="s">
        <v>578</v>
      </c>
    </row>
    <row r="61" spans="2:10" ht="13.5" customHeight="1">
      <c r="B61" s="411"/>
      <c r="C61" s="411"/>
      <c r="D61" s="406"/>
      <c r="E61" s="406"/>
      <c r="F61" s="406"/>
      <c r="G61" s="406"/>
      <c r="H61" s="413" t="s">
        <v>12</v>
      </c>
      <c r="I61" s="413"/>
      <c r="J61" s="339"/>
    </row>
    <row r="62" spans="2:10" ht="11.25" customHeight="1">
      <c r="B62" s="405">
        <v>1</v>
      </c>
      <c r="C62" s="406"/>
      <c r="D62" s="407">
        <v>2</v>
      </c>
      <c r="E62" s="407"/>
      <c r="F62" s="407">
        <v>3</v>
      </c>
      <c r="G62" s="407"/>
      <c r="H62" s="340">
        <v>4</v>
      </c>
      <c r="I62" s="340">
        <v>5</v>
      </c>
      <c r="J62" s="330"/>
    </row>
    <row r="63" spans="2:10" ht="25.5" customHeight="1">
      <c r="B63" s="402" t="s">
        <v>579</v>
      </c>
      <c r="C63" s="402"/>
      <c r="D63" s="408">
        <f>8634555262.62</f>
        <v>8634555262.62</v>
      </c>
      <c r="E63" s="408"/>
      <c r="F63" s="408">
        <f>8356641747.44</f>
        <v>8356641747.44</v>
      </c>
      <c r="G63" s="408"/>
      <c r="H63" s="333"/>
      <c r="I63" s="333"/>
      <c r="J63" s="341"/>
    </row>
    <row r="64" spans="2:9" ht="25.5" customHeight="1">
      <c r="B64" s="401" t="s">
        <v>580</v>
      </c>
      <c r="C64" s="402"/>
      <c r="D64" s="403">
        <f>17224066470.1</f>
        <v>17224066470.1</v>
      </c>
      <c r="E64" s="404"/>
      <c r="F64" s="403">
        <f>16660023642.9</f>
        <v>16660023642.9</v>
      </c>
      <c r="G64" s="404"/>
      <c r="H64" s="295">
        <f aca="true" t="shared" si="8" ref="H64:H76">IF($F$64=0,"",100*$F64/$F$64)</f>
        <v>100</v>
      </c>
      <c r="I64" s="333">
        <f aca="true" t="shared" si="9" ref="I64:I85">IF(D64=0,"",100*F64/D64)</f>
        <v>96.7252632926194</v>
      </c>
    </row>
    <row r="65" spans="2:9" ht="13.5" customHeight="1">
      <c r="B65" s="398" t="s">
        <v>581</v>
      </c>
      <c r="C65" s="398"/>
      <c r="D65" s="399">
        <f>9862462140.22</f>
        <v>9862462140.22</v>
      </c>
      <c r="E65" s="400"/>
      <c r="F65" s="399">
        <f>7748206438.57</f>
        <v>7748206438.57</v>
      </c>
      <c r="G65" s="400"/>
      <c r="H65" s="322">
        <f t="shared" si="8"/>
        <v>46.5077757670053</v>
      </c>
      <c r="I65" s="322">
        <f t="shared" si="9"/>
        <v>78.56259753811499</v>
      </c>
    </row>
    <row r="66" spans="2:9" ht="42" customHeight="1">
      <c r="B66" s="396" t="s">
        <v>582</v>
      </c>
      <c r="C66" s="396" t="s">
        <v>583</v>
      </c>
      <c r="D66" s="399">
        <f>3005102970.1</f>
        <v>3005102970.1</v>
      </c>
      <c r="E66" s="400"/>
      <c r="F66" s="399">
        <f>2626721106.14</f>
        <v>2626721106.14</v>
      </c>
      <c r="G66" s="400"/>
      <c r="H66" s="322">
        <f t="shared" si="8"/>
        <v>15.76661091510173</v>
      </c>
      <c r="I66" s="322">
        <f t="shared" si="9"/>
        <v>87.4086888960278</v>
      </c>
    </row>
    <row r="67" spans="2:9" ht="13.5" customHeight="1">
      <c r="B67" s="398" t="s">
        <v>584</v>
      </c>
      <c r="C67" s="398" t="s">
        <v>585</v>
      </c>
      <c r="D67" s="399">
        <f>67930816.75</f>
        <v>67930816.75</v>
      </c>
      <c r="E67" s="400"/>
      <c r="F67" s="399">
        <f>82987470.76</f>
        <v>82987470.76</v>
      </c>
      <c r="G67" s="400"/>
      <c r="H67" s="322">
        <f t="shared" si="8"/>
        <v>0.49812336728205525</v>
      </c>
      <c r="I67" s="322">
        <f t="shared" si="9"/>
        <v>122.16468862050007</v>
      </c>
    </row>
    <row r="68" spans="2:9" ht="13.5" customHeight="1">
      <c r="B68" s="398" t="s">
        <v>586</v>
      </c>
      <c r="C68" s="398" t="s">
        <v>587</v>
      </c>
      <c r="D68" s="399">
        <f>1712976711.98</f>
        <v>1712976711.98</v>
      </c>
      <c r="E68" s="400"/>
      <c r="F68" s="399">
        <f>2326216948.44</f>
        <v>2326216948.44</v>
      </c>
      <c r="G68" s="400"/>
      <c r="H68" s="322">
        <f t="shared" si="8"/>
        <v>13.962867030091903</v>
      </c>
      <c r="I68" s="322">
        <f t="shared" si="9"/>
        <v>135.7996832164266</v>
      </c>
    </row>
    <row r="69" spans="2:9" ht="13.5" customHeight="1">
      <c r="B69" s="396" t="s">
        <v>588</v>
      </c>
      <c r="C69" s="396" t="s">
        <v>589</v>
      </c>
      <c r="D69" s="399">
        <f>1047174731.96</f>
        <v>1047174731.96</v>
      </c>
      <c r="E69" s="400"/>
      <c r="F69" s="399">
        <f>152297478.07</f>
        <v>152297478.07</v>
      </c>
      <c r="G69" s="400"/>
      <c r="H69" s="322">
        <f t="shared" si="8"/>
        <v>0.914149231324198</v>
      </c>
      <c r="I69" s="322">
        <f t="shared" si="9"/>
        <v>14.543654790537618</v>
      </c>
    </row>
    <row r="70" spans="2:9" ht="13.5" customHeight="1">
      <c r="B70" s="398" t="s">
        <v>590</v>
      </c>
      <c r="C70" s="398" t="s">
        <v>591</v>
      </c>
      <c r="D70" s="399">
        <f>152158122</f>
        <v>152158122</v>
      </c>
      <c r="E70" s="400"/>
      <c r="F70" s="399">
        <f>139259999.99</f>
        <v>139259999.99</v>
      </c>
      <c r="G70" s="400"/>
      <c r="H70" s="322">
        <f t="shared" si="8"/>
        <v>0.8358931714322532</v>
      </c>
      <c r="I70" s="322">
        <f t="shared" si="9"/>
        <v>91.52321161666283</v>
      </c>
    </row>
    <row r="71" spans="2:9" ht="41.25" customHeight="1">
      <c r="B71" s="396" t="s">
        <v>582</v>
      </c>
      <c r="C71" s="396" t="s">
        <v>583</v>
      </c>
      <c r="D71" s="399">
        <f>2423861</f>
        <v>2423861</v>
      </c>
      <c r="E71" s="400"/>
      <c r="F71" s="399">
        <f>2423861</f>
        <v>2423861</v>
      </c>
      <c r="G71" s="400"/>
      <c r="H71" s="322">
        <f t="shared" si="8"/>
        <v>0.014548964947195478</v>
      </c>
      <c r="I71" s="322">
        <f t="shared" si="9"/>
        <v>100</v>
      </c>
    </row>
    <row r="72" spans="2:9" ht="22.5" customHeight="1">
      <c r="B72" s="398" t="s">
        <v>592</v>
      </c>
      <c r="C72" s="398" t="s">
        <v>593</v>
      </c>
      <c r="D72" s="399">
        <f>913194170</f>
        <v>913194170</v>
      </c>
      <c r="E72" s="400"/>
      <c r="F72" s="399">
        <f>751075000</f>
        <v>751075000</v>
      </c>
      <c r="G72" s="400"/>
      <c r="H72" s="322">
        <f t="shared" si="8"/>
        <v>4.508246903479549</v>
      </c>
      <c r="I72" s="322">
        <f t="shared" si="9"/>
        <v>82.24702091560658</v>
      </c>
    </row>
    <row r="73" spans="2:9" ht="43.5" customHeight="1">
      <c r="B73" s="396" t="s">
        <v>582</v>
      </c>
      <c r="C73" s="396" t="s">
        <v>583</v>
      </c>
      <c r="D73" s="399">
        <f>70811796</f>
        <v>70811796</v>
      </c>
      <c r="E73" s="400"/>
      <c r="F73" s="399">
        <f>67923853.06</f>
        <v>67923853.06</v>
      </c>
      <c r="G73" s="400"/>
      <c r="H73" s="322">
        <f t="shared" si="8"/>
        <v>0.407705622248304</v>
      </c>
      <c r="I73" s="322">
        <f t="shared" si="9"/>
        <v>95.9216640402681</v>
      </c>
    </row>
    <row r="74" spans="2:9" ht="13.5" customHeight="1">
      <c r="B74" s="398" t="s">
        <v>594</v>
      </c>
      <c r="C74" s="398" t="s">
        <v>595</v>
      </c>
      <c r="D74" s="399">
        <f>56763947</f>
        <v>56763947</v>
      </c>
      <c r="E74" s="400"/>
      <c r="F74" s="399">
        <f>19252798.14</f>
        <v>19252798.14</v>
      </c>
      <c r="G74" s="400"/>
      <c r="H74" s="322">
        <f t="shared" si="8"/>
        <v>0.11556285004556378</v>
      </c>
      <c r="I74" s="322">
        <f t="shared" si="9"/>
        <v>33.91729990164355</v>
      </c>
    </row>
    <row r="75" spans="2:9" ht="13.5" customHeight="1">
      <c r="B75" s="398" t="s">
        <v>596</v>
      </c>
      <c r="C75" s="398" t="s">
        <v>597</v>
      </c>
      <c r="D75" s="399">
        <f>4458580562.15</f>
        <v>4458580562.15</v>
      </c>
      <c r="E75" s="400"/>
      <c r="F75" s="399">
        <f>5593024987</f>
        <v>5593024987</v>
      </c>
      <c r="G75" s="400"/>
      <c r="H75" s="322">
        <f t="shared" si="8"/>
        <v>33.57153091066338</v>
      </c>
      <c r="I75" s="322">
        <f t="shared" si="9"/>
        <v>125.44407147154817</v>
      </c>
    </row>
    <row r="76" spans="2:9" ht="13.5" customHeight="1">
      <c r="B76" s="396" t="s">
        <v>588</v>
      </c>
      <c r="C76" s="396" t="s">
        <v>589</v>
      </c>
      <c r="D76" s="399">
        <f>2861745372.01</f>
        <v>2861745372.01</v>
      </c>
      <c r="E76" s="400"/>
      <c r="F76" s="399">
        <f>605703499.52</f>
        <v>605703499.52</v>
      </c>
      <c r="G76" s="400"/>
      <c r="H76" s="322">
        <f t="shared" si="8"/>
        <v>3.635670107695991</v>
      </c>
      <c r="I76" s="322">
        <f t="shared" si="9"/>
        <v>21.165527354188498</v>
      </c>
    </row>
    <row r="77" spans="2:9" ht="25.5" customHeight="1">
      <c r="B77" s="401" t="s">
        <v>598</v>
      </c>
      <c r="C77" s="402" t="s">
        <v>599</v>
      </c>
      <c r="D77" s="403">
        <f>8589511207.48</f>
        <v>8589511207.48</v>
      </c>
      <c r="E77" s="404"/>
      <c r="F77" s="403">
        <f>8303381895.46</f>
        <v>8303381895.46</v>
      </c>
      <c r="G77" s="404"/>
      <c r="H77" s="295">
        <f aca="true" t="shared" si="10" ref="H77:H85">IF($F$77=0,"",100*$F77/$F$77)</f>
        <v>100</v>
      </c>
      <c r="I77" s="333">
        <f t="shared" si="9"/>
        <v>96.66885221861251</v>
      </c>
    </row>
    <row r="78" spans="2:9" ht="13.5" customHeight="1">
      <c r="B78" s="398" t="s">
        <v>600</v>
      </c>
      <c r="C78" s="398" t="s">
        <v>601</v>
      </c>
      <c r="D78" s="399">
        <f>7102580206.24</f>
        <v>7102580206.24</v>
      </c>
      <c r="E78" s="400"/>
      <c r="F78" s="399">
        <f>6747565166.49</f>
        <v>6747565166.49</v>
      </c>
      <c r="G78" s="400"/>
      <c r="H78" s="322">
        <f t="shared" si="10"/>
        <v>81.26285471922391</v>
      </c>
      <c r="I78" s="322">
        <f t="shared" si="9"/>
        <v>95.0016046360434</v>
      </c>
    </row>
    <row r="79" spans="2:9" ht="44.25" customHeight="1">
      <c r="B79" s="396" t="s">
        <v>582</v>
      </c>
      <c r="C79" s="396" t="s">
        <v>583</v>
      </c>
      <c r="D79" s="399">
        <f>3025669231.59</f>
        <v>3025669231.59</v>
      </c>
      <c r="E79" s="400"/>
      <c r="F79" s="399">
        <f>2721274761.31</f>
        <v>2721274761.31</v>
      </c>
      <c r="G79" s="400"/>
      <c r="H79" s="322">
        <f t="shared" si="10"/>
        <v>32.77308927339472</v>
      </c>
      <c r="I79" s="322">
        <f t="shared" si="9"/>
        <v>89.93959858196266</v>
      </c>
    </row>
    <row r="80" spans="2:9" ht="13.5" customHeight="1">
      <c r="B80" s="398" t="s">
        <v>602</v>
      </c>
      <c r="C80" s="398" t="s">
        <v>603</v>
      </c>
      <c r="D80" s="399">
        <f>306856820.08</f>
        <v>306856820.08</v>
      </c>
      <c r="E80" s="400"/>
      <c r="F80" s="399">
        <f>332863005.05</f>
        <v>332863005.05</v>
      </c>
      <c r="G80" s="400"/>
      <c r="H80" s="322">
        <f t="shared" si="10"/>
        <v>4.008764251009555</v>
      </c>
      <c r="I80" s="322">
        <f t="shared" si="9"/>
        <v>108.475022638643</v>
      </c>
    </row>
    <row r="81" spans="2:9" ht="13.5" customHeight="1">
      <c r="B81" s="398" t="s">
        <v>604</v>
      </c>
      <c r="C81" s="398" t="s">
        <v>605</v>
      </c>
      <c r="D81" s="397">
        <f>24950000</f>
        <v>24950000</v>
      </c>
      <c r="E81" s="397"/>
      <c r="F81" s="397">
        <f>25950000</f>
        <v>25950000</v>
      </c>
      <c r="G81" s="397"/>
      <c r="H81" s="322">
        <f t="shared" si="10"/>
        <v>0.3125232625297959</v>
      </c>
      <c r="I81" s="322">
        <f t="shared" si="9"/>
        <v>104.00801603206413</v>
      </c>
    </row>
    <row r="82" spans="2:9" ht="45" customHeight="1">
      <c r="B82" s="396" t="s">
        <v>582</v>
      </c>
      <c r="C82" s="396" t="s">
        <v>583</v>
      </c>
      <c r="D82" s="397">
        <f>0</f>
        <v>0</v>
      </c>
      <c r="E82" s="397"/>
      <c r="F82" s="397">
        <f>0</f>
        <v>0</v>
      </c>
      <c r="G82" s="397"/>
      <c r="H82" s="322">
        <f t="shared" si="10"/>
        <v>0</v>
      </c>
      <c r="I82" s="322">
        <f t="shared" si="9"/>
      </c>
    </row>
    <row r="83" spans="2:9" ht="13.5" customHeight="1">
      <c r="B83" s="398" t="s">
        <v>606</v>
      </c>
      <c r="C83" s="398" t="s">
        <v>607</v>
      </c>
      <c r="D83" s="397">
        <f>576951300</f>
        <v>576951300</v>
      </c>
      <c r="E83" s="397"/>
      <c r="F83" s="397">
        <f>576902100</f>
        <v>576902100</v>
      </c>
      <c r="G83" s="397"/>
      <c r="H83" s="322">
        <f t="shared" si="10"/>
        <v>6.947796780435089</v>
      </c>
      <c r="I83" s="322">
        <f t="shared" si="9"/>
        <v>99.99147241716935</v>
      </c>
    </row>
    <row r="84" spans="2:9" ht="38.25" customHeight="1">
      <c r="B84" s="396" t="s">
        <v>582</v>
      </c>
      <c r="C84" s="396" t="s">
        <v>583</v>
      </c>
      <c r="D84" s="397">
        <f>2835000</f>
        <v>2835000</v>
      </c>
      <c r="E84" s="397"/>
      <c r="F84" s="397">
        <f>2835000</f>
        <v>2835000</v>
      </c>
      <c r="G84" s="397"/>
      <c r="H84" s="322">
        <f t="shared" si="10"/>
        <v>0.03414271480816845</v>
      </c>
      <c r="I84" s="322">
        <f t="shared" si="9"/>
        <v>100</v>
      </c>
    </row>
    <row r="85" spans="2:9" ht="13.5" customHeight="1">
      <c r="B85" s="398" t="s">
        <v>608</v>
      </c>
      <c r="C85" s="398" t="s">
        <v>609</v>
      </c>
      <c r="D85" s="397">
        <f>578172881.16</f>
        <v>578172881.16</v>
      </c>
      <c r="E85" s="397"/>
      <c r="F85" s="397">
        <f>620101623.92</f>
        <v>620101623.92</v>
      </c>
      <c r="G85" s="397"/>
      <c r="H85" s="322">
        <f t="shared" si="10"/>
        <v>7.468060986801653</v>
      </c>
      <c r="I85" s="322">
        <f t="shared" si="9"/>
        <v>107.25193867202444</v>
      </c>
    </row>
  </sheetData>
  <mergeCells count="106">
    <mergeCell ref="B1:M1"/>
    <mergeCell ref="B3:B4"/>
    <mergeCell ref="C4:J4"/>
    <mergeCell ref="K4:M4"/>
    <mergeCell ref="B41:B44"/>
    <mergeCell ref="C41:C43"/>
    <mergeCell ref="D41:D43"/>
    <mergeCell ref="E41:E43"/>
    <mergeCell ref="C44:J44"/>
    <mergeCell ref="F41:H41"/>
    <mergeCell ref="I41:J43"/>
    <mergeCell ref="K41:K43"/>
    <mergeCell ref="L41:L43"/>
    <mergeCell ref="F42:F43"/>
    <mergeCell ref="G42:H42"/>
    <mergeCell ref="K44:L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B60:C61"/>
    <mergeCell ref="D60:E60"/>
    <mergeCell ref="F60:G60"/>
    <mergeCell ref="D61:G61"/>
    <mergeCell ref="H61:I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</mergeCells>
  <printOptions horizontalCentered="1"/>
  <pageMargins left="0.2362204724409449" right="0.15748031496062992" top="0.6" bottom="0.32" header="0.15748031496062992" footer="0.1968503937007874"/>
  <pageSetup horizontalDpi="1200" verticalDpi="1200" orientation="landscape" paperSize="9" scale="90" r:id="rId3"/>
  <headerFooter alignWithMargins="0">
    <oddFooter>&amp;RStrona &amp;P z 5</oddFooter>
  </headerFooter>
  <rowBreaks count="2" manualBreakCount="2">
    <brk id="28" max="255" man="1"/>
    <brk id="5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1" sqref="A1:M1"/>
    </sheetView>
  </sheetViews>
  <sheetFormatPr defaultColWidth="9.140625" defaultRowHeight="13.5" customHeight="1"/>
  <cols>
    <col min="1" max="1" width="20.7109375" style="296" customWidth="1"/>
    <col min="2" max="2" width="12.00390625" style="296" customWidth="1"/>
    <col min="3" max="3" width="12.00390625" style="296" bestFit="1" customWidth="1"/>
    <col min="4" max="5" width="11.421875" style="296" customWidth="1"/>
    <col min="6" max="6" width="12.421875" style="296" bestFit="1" customWidth="1"/>
    <col min="7" max="7" width="11.7109375" style="296" customWidth="1"/>
    <col min="8" max="8" width="10.00390625" style="296" customWidth="1"/>
    <col min="9" max="9" width="9.7109375" style="296" customWidth="1"/>
    <col min="10" max="10" width="11.8515625" style="296" customWidth="1"/>
    <col min="11" max="11" width="11.57421875" style="296" customWidth="1"/>
    <col min="12" max="12" width="9.28125" style="296" customWidth="1"/>
    <col min="13" max="13" width="11.00390625" style="296" customWidth="1"/>
    <col min="14" max="16384" width="9.140625" style="296" customWidth="1"/>
  </cols>
  <sheetData>
    <row r="1" spans="1:13" ht="13.5" customHeight="1">
      <c r="A1" s="420" t="s">
        <v>625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4.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customHeight="1">
      <c r="A3" s="426" t="s">
        <v>626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ht="6" customHeight="1"/>
    <row r="5" spans="1:13" ht="13.5" customHeight="1">
      <c r="A5" s="441" t="s">
        <v>463</v>
      </c>
      <c r="B5" s="436" t="s">
        <v>627</v>
      </c>
      <c r="C5" s="439" t="s">
        <v>628</v>
      </c>
      <c r="D5" s="439"/>
      <c r="E5" s="439"/>
      <c r="F5" s="439"/>
      <c r="G5" s="439"/>
      <c r="H5" s="439"/>
      <c r="I5" s="439"/>
      <c r="J5" s="439"/>
      <c r="K5" s="439"/>
      <c r="L5" s="439"/>
      <c r="M5" s="440"/>
    </row>
    <row r="6" spans="1:13" ht="13.5" customHeight="1">
      <c r="A6" s="442"/>
      <c r="B6" s="437"/>
      <c r="C6" s="444" t="s">
        <v>629</v>
      </c>
      <c r="D6" s="439"/>
      <c r="E6" s="439"/>
      <c r="F6" s="439"/>
      <c r="G6" s="439"/>
      <c r="H6" s="439"/>
      <c r="I6" s="439"/>
      <c r="J6" s="440"/>
      <c r="K6" s="444" t="s">
        <v>630</v>
      </c>
      <c r="L6" s="439"/>
      <c r="M6" s="440"/>
    </row>
    <row r="7" spans="1:13" ht="13.5" customHeight="1">
      <c r="A7" s="442"/>
      <c r="B7" s="437"/>
      <c r="C7" s="436" t="s">
        <v>465</v>
      </c>
      <c r="D7" s="439" t="s">
        <v>631</v>
      </c>
      <c r="E7" s="439"/>
      <c r="F7" s="439"/>
      <c r="G7" s="439"/>
      <c r="H7" s="439"/>
      <c r="I7" s="439"/>
      <c r="J7" s="440"/>
      <c r="K7" s="436" t="s">
        <v>465</v>
      </c>
      <c r="L7" s="439" t="s">
        <v>631</v>
      </c>
      <c r="M7" s="440"/>
    </row>
    <row r="8" spans="1:13" ht="13.5" customHeight="1">
      <c r="A8" s="442"/>
      <c r="B8" s="437"/>
      <c r="C8" s="437"/>
      <c r="D8" s="436" t="s">
        <v>632</v>
      </c>
      <c r="E8" s="440" t="s">
        <v>633</v>
      </c>
      <c r="F8" s="425"/>
      <c r="G8" s="425"/>
      <c r="H8" s="425"/>
      <c r="I8" s="421" t="s">
        <v>634</v>
      </c>
      <c r="J8" s="421" t="s">
        <v>635</v>
      </c>
      <c r="K8" s="437"/>
      <c r="L8" s="421" t="s">
        <v>636</v>
      </c>
      <c r="M8" s="421" t="s">
        <v>637</v>
      </c>
    </row>
    <row r="9" spans="1:13" ht="13.5" customHeight="1">
      <c r="A9" s="442"/>
      <c r="B9" s="437"/>
      <c r="C9" s="437"/>
      <c r="D9" s="437"/>
      <c r="E9" s="436" t="s">
        <v>638</v>
      </c>
      <c r="F9" s="298" t="s">
        <v>631</v>
      </c>
      <c r="G9" s="421" t="s">
        <v>639</v>
      </c>
      <c r="H9" s="421" t="s">
        <v>640</v>
      </c>
      <c r="I9" s="422"/>
      <c r="J9" s="422"/>
      <c r="K9" s="437"/>
      <c r="L9" s="422"/>
      <c r="M9" s="422"/>
    </row>
    <row r="10" spans="1:13" ht="11.25" customHeight="1">
      <c r="A10" s="442"/>
      <c r="B10" s="437"/>
      <c r="C10" s="437"/>
      <c r="D10" s="437"/>
      <c r="E10" s="437"/>
      <c r="F10" s="421" t="s">
        <v>641</v>
      </c>
      <c r="G10" s="422"/>
      <c r="H10" s="422"/>
      <c r="I10" s="422"/>
      <c r="J10" s="422"/>
      <c r="K10" s="437"/>
      <c r="L10" s="422"/>
      <c r="M10" s="422"/>
    </row>
    <row r="11" spans="1:13" ht="11.25" customHeight="1">
      <c r="A11" s="443"/>
      <c r="B11" s="438"/>
      <c r="C11" s="438"/>
      <c r="D11" s="438"/>
      <c r="E11" s="438"/>
      <c r="F11" s="423"/>
      <c r="G11" s="423"/>
      <c r="H11" s="423"/>
      <c r="I11" s="423"/>
      <c r="J11" s="423"/>
      <c r="K11" s="438"/>
      <c r="L11" s="423"/>
      <c r="M11" s="423"/>
    </row>
    <row r="12" spans="1:13" ht="11.25" customHeight="1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</row>
    <row r="13" spans="1:13" ht="38.25" customHeight="1">
      <c r="A13" s="300" t="s">
        <v>642</v>
      </c>
      <c r="B13" s="301">
        <f>25876097086.13</f>
        <v>25876097086.13</v>
      </c>
      <c r="C13" s="301">
        <f>22944001026.21</f>
        <v>22944001026.21</v>
      </c>
      <c r="D13" s="301">
        <f>4716808497.46</f>
        <v>4716808497.46</v>
      </c>
      <c r="E13" s="301">
        <f>2379164751.98</f>
        <v>2379164751.98</v>
      </c>
      <c r="F13" s="301">
        <f>939951518.92</f>
        <v>939951518.92</v>
      </c>
      <c r="G13" s="301">
        <f>2306972117.93</f>
        <v>2306972117.93</v>
      </c>
      <c r="H13" s="301">
        <f>30671627.55</f>
        <v>30671627.55</v>
      </c>
      <c r="I13" s="301">
        <f>0</f>
        <v>0</v>
      </c>
      <c r="J13" s="301">
        <f>16848693878.72</f>
        <v>16848693878.72</v>
      </c>
      <c r="K13" s="301">
        <f>2932096059.92</f>
        <v>2932096059.92</v>
      </c>
      <c r="L13" s="301">
        <f>0</f>
        <v>0</v>
      </c>
      <c r="M13" s="301">
        <f>2868220098.55</f>
        <v>2868220098.55</v>
      </c>
    </row>
    <row r="14" spans="1:13" ht="22.5" customHeight="1">
      <c r="A14" s="302" t="s">
        <v>643</v>
      </c>
      <c r="B14" s="301">
        <f>4062338613.99</f>
        <v>4062338613.99</v>
      </c>
      <c r="C14" s="301">
        <f>4062338613.99</f>
        <v>4062338613.99</v>
      </c>
      <c r="D14" s="301">
        <f>32150000</f>
        <v>32150000</v>
      </c>
      <c r="E14" s="301">
        <f>13000000</f>
        <v>13000000</v>
      </c>
      <c r="F14" s="301">
        <f>0</f>
        <v>0</v>
      </c>
      <c r="G14" s="301">
        <f>19150000</f>
        <v>19150000</v>
      </c>
      <c r="H14" s="301">
        <f>0</f>
        <v>0</v>
      </c>
      <c r="I14" s="301">
        <f>0</f>
        <v>0</v>
      </c>
      <c r="J14" s="301">
        <f>3194794813.99</f>
        <v>3194794813.99</v>
      </c>
      <c r="K14" s="301">
        <f>0</f>
        <v>0</v>
      </c>
      <c r="L14" s="301">
        <f>0</f>
        <v>0</v>
      </c>
      <c r="M14" s="301">
        <f>0</f>
        <v>0</v>
      </c>
    </row>
    <row r="15" spans="1:13" ht="13.5" customHeight="1">
      <c r="A15" s="303" t="s">
        <v>644</v>
      </c>
      <c r="B15" s="301">
        <f>4018738613.99</f>
        <v>4018738613.99</v>
      </c>
      <c r="C15" s="301">
        <f>4018738613.99</f>
        <v>4018738613.99</v>
      </c>
      <c r="D15" s="301">
        <f>32150000</f>
        <v>32150000</v>
      </c>
      <c r="E15" s="301">
        <f>13000000</f>
        <v>13000000</v>
      </c>
      <c r="F15" s="301">
        <f>0</f>
        <v>0</v>
      </c>
      <c r="G15" s="301">
        <f>19150000</f>
        <v>19150000</v>
      </c>
      <c r="H15" s="301">
        <f>0</f>
        <v>0</v>
      </c>
      <c r="I15" s="301">
        <f>0</f>
        <v>0</v>
      </c>
      <c r="J15" s="301">
        <f>3153294813.99</f>
        <v>3153294813.99</v>
      </c>
      <c r="K15" s="301">
        <f>0</f>
        <v>0</v>
      </c>
      <c r="L15" s="301">
        <f>0</f>
        <v>0</v>
      </c>
      <c r="M15" s="301">
        <f>0</f>
        <v>0</v>
      </c>
    </row>
    <row r="16" spans="1:13" ht="22.5">
      <c r="A16" s="302" t="s">
        <v>645</v>
      </c>
      <c r="B16" s="301">
        <f>21633650273.64</f>
        <v>21633650273.64</v>
      </c>
      <c r="C16" s="301">
        <f>18701554213.72</f>
        <v>18701554213.72</v>
      </c>
      <c r="D16" s="301">
        <f>4643983173.31</f>
        <v>4643983173.31</v>
      </c>
      <c r="E16" s="301">
        <f>2359512462.19</f>
        <v>2359512462.19</v>
      </c>
      <c r="F16" s="301">
        <f>938973640.53</f>
        <v>938973640.53</v>
      </c>
      <c r="G16" s="301">
        <f>2264798421.81</f>
        <v>2264798421.81</v>
      </c>
      <c r="H16" s="301">
        <f>19672289.31</f>
        <v>19672289.31</v>
      </c>
      <c r="I16" s="301">
        <f>0</f>
        <v>0</v>
      </c>
      <c r="J16" s="301">
        <f>13653886783.95</f>
        <v>13653886783.95</v>
      </c>
      <c r="K16" s="301">
        <f>2932096059.92</f>
        <v>2932096059.92</v>
      </c>
      <c r="L16" s="301">
        <f>0</f>
        <v>0</v>
      </c>
      <c r="M16" s="301">
        <f>2868220098.55</f>
        <v>2868220098.55</v>
      </c>
    </row>
    <row r="17" spans="1:13" ht="13.5" customHeight="1">
      <c r="A17" s="303" t="s">
        <v>644</v>
      </c>
      <c r="B17" s="301">
        <f>20730495006.02</f>
        <v>20730495006.02</v>
      </c>
      <c r="C17" s="301">
        <f>17802306582.42</f>
        <v>17802306582.42</v>
      </c>
      <c r="D17" s="301">
        <f>4020230139.8</f>
        <v>4020230139.8</v>
      </c>
      <c r="E17" s="301">
        <f>1806595878.49</f>
        <v>1806595878.49</v>
      </c>
      <c r="F17" s="301">
        <f>447671848.92</f>
        <v>447671848.92</v>
      </c>
      <c r="G17" s="301">
        <f>2194003146.1</f>
        <v>2194003146.1</v>
      </c>
      <c r="H17" s="301">
        <f>19631115.21</f>
        <v>19631115.21</v>
      </c>
      <c r="I17" s="301">
        <f>0</f>
        <v>0</v>
      </c>
      <c r="J17" s="301">
        <f>13396728649.5</f>
        <v>13396728649.5</v>
      </c>
      <c r="K17" s="301">
        <f>2928188423.6</f>
        <v>2928188423.6</v>
      </c>
      <c r="L17" s="301">
        <f>0</f>
        <v>0</v>
      </c>
      <c r="M17" s="301">
        <f>2864312462.23</f>
        <v>2864312462.23</v>
      </c>
    </row>
    <row r="18" spans="1:13" ht="13.5" customHeight="1">
      <c r="A18" s="302" t="s">
        <v>646</v>
      </c>
      <c r="B18" s="301">
        <f>156380.78</f>
        <v>156380.78</v>
      </c>
      <c r="C18" s="301">
        <f>156380.78</f>
        <v>156380.78</v>
      </c>
      <c r="D18" s="301">
        <f>0</f>
        <v>0</v>
      </c>
      <c r="E18" s="301">
        <f>0</f>
        <v>0</v>
      </c>
      <c r="F18" s="301">
        <f>0</f>
        <v>0</v>
      </c>
      <c r="G18" s="301">
        <f>0</f>
        <v>0</v>
      </c>
      <c r="H18" s="301">
        <f>0</f>
        <v>0</v>
      </c>
      <c r="I18" s="301">
        <f>0</f>
        <v>0</v>
      </c>
      <c r="J18" s="301">
        <f>0</f>
        <v>0</v>
      </c>
      <c r="K18" s="301">
        <f>0</f>
        <v>0</v>
      </c>
      <c r="L18" s="301">
        <f>0</f>
        <v>0</v>
      </c>
      <c r="M18" s="301">
        <f>0</f>
        <v>0</v>
      </c>
    </row>
    <row r="19" spans="1:13" ht="24.75" customHeight="1">
      <c r="A19" s="302" t="s">
        <v>647</v>
      </c>
      <c r="B19" s="301">
        <f>179951817.72</f>
        <v>179951817.72</v>
      </c>
      <c r="C19" s="301">
        <f>179951817.72</f>
        <v>179951817.72</v>
      </c>
      <c r="D19" s="301">
        <f>40675324.15</f>
        <v>40675324.15</v>
      </c>
      <c r="E19" s="301">
        <f>6652289.79</f>
        <v>6652289.79</v>
      </c>
      <c r="F19" s="301">
        <f>977878.39</f>
        <v>977878.39</v>
      </c>
      <c r="G19" s="301">
        <f>23023696.12</f>
        <v>23023696.12</v>
      </c>
      <c r="H19" s="301">
        <f>10999338.24</f>
        <v>10999338.24</v>
      </c>
      <c r="I19" s="301">
        <f>0</f>
        <v>0</v>
      </c>
      <c r="J19" s="301">
        <f>12280.78</f>
        <v>12280.78</v>
      </c>
      <c r="K19" s="301">
        <f>0</f>
        <v>0</v>
      </c>
      <c r="L19" s="301">
        <f>0</f>
        <v>0</v>
      </c>
      <c r="M19" s="301">
        <f>0</f>
        <v>0</v>
      </c>
    </row>
    <row r="20" spans="1:13" ht="16.5" customHeight="1">
      <c r="A20" s="302" t="s">
        <v>648</v>
      </c>
      <c r="B20" s="301">
        <f>135058461.67</f>
        <v>135058461.67</v>
      </c>
      <c r="C20" s="301">
        <f>135058461.67</f>
        <v>135058461.67</v>
      </c>
      <c r="D20" s="301">
        <f>12896008.85</f>
        <v>12896008.85</v>
      </c>
      <c r="E20" s="301">
        <f>1227836.82</f>
        <v>1227836.82</v>
      </c>
      <c r="F20" s="301">
        <f>11580.73</f>
        <v>11580.73</v>
      </c>
      <c r="G20" s="301">
        <f>11540248.99</f>
        <v>11540248.99</v>
      </c>
      <c r="H20" s="301">
        <f>127923.04</f>
        <v>127923.04</v>
      </c>
      <c r="I20" s="301">
        <f>0</f>
        <v>0</v>
      </c>
      <c r="J20" s="301">
        <f>400</f>
        <v>400</v>
      </c>
      <c r="K20" s="301">
        <f>0</f>
        <v>0</v>
      </c>
      <c r="L20" s="301">
        <f>0</f>
        <v>0</v>
      </c>
      <c r="M20" s="301">
        <f>0</f>
        <v>0</v>
      </c>
    </row>
    <row r="22" spans="1:13" ht="13.5" customHeight="1">
      <c r="A22" s="426" t="s">
        <v>649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ht="4.5" customHeight="1"/>
    <row r="24" spans="1:13" ht="13.5" customHeight="1">
      <c r="A24" s="441" t="s">
        <v>463</v>
      </c>
      <c r="B24" s="436" t="s">
        <v>650</v>
      </c>
      <c r="C24" s="439" t="s">
        <v>651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</row>
    <row r="25" spans="1:13" ht="13.5" customHeight="1">
      <c r="A25" s="442"/>
      <c r="B25" s="437"/>
      <c r="C25" s="444" t="s">
        <v>629</v>
      </c>
      <c r="D25" s="439"/>
      <c r="E25" s="439"/>
      <c r="F25" s="439"/>
      <c r="G25" s="439"/>
      <c r="H25" s="439"/>
      <c r="I25" s="439"/>
      <c r="J25" s="440"/>
      <c r="K25" s="444" t="s">
        <v>630</v>
      </c>
      <c r="L25" s="439"/>
      <c r="M25" s="440"/>
    </row>
    <row r="26" spans="1:13" ht="13.5" customHeight="1">
      <c r="A26" s="442"/>
      <c r="B26" s="437"/>
      <c r="C26" s="436" t="s">
        <v>465</v>
      </c>
      <c r="D26" s="439" t="s">
        <v>652</v>
      </c>
      <c r="E26" s="439"/>
      <c r="F26" s="439"/>
      <c r="G26" s="439"/>
      <c r="H26" s="439"/>
      <c r="I26" s="439"/>
      <c r="J26" s="440"/>
      <c r="K26" s="436" t="s">
        <v>465</v>
      </c>
      <c r="L26" s="439" t="s">
        <v>652</v>
      </c>
      <c r="M26" s="440"/>
    </row>
    <row r="27" spans="1:13" ht="13.5" customHeight="1">
      <c r="A27" s="442"/>
      <c r="B27" s="437"/>
      <c r="C27" s="437"/>
      <c r="D27" s="436" t="s">
        <v>632</v>
      </c>
      <c r="E27" s="440" t="s">
        <v>653</v>
      </c>
      <c r="F27" s="425"/>
      <c r="G27" s="425"/>
      <c r="H27" s="425"/>
      <c r="I27" s="421" t="s">
        <v>634</v>
      </c>
      <c r="J27" s="421" t="s">
        <v>635</v>
      </c>
      <c r="K27" s="437"/>
      <c r="L27" s="421" t="s">
        <v>636</v>
      </c>
      <c r="M27" s="421" t="s">
        <v>637</v>
      </c>
    </row>
    <row r="28" spans="1:13" ht="13.5" customHeight="1">
      <c r="A28" s="442"/>
      <c r="B28" s="437"/>
      <c r="C28" s="437"/>
      <c r="D28" s="437"/>
      <c r="E28" s="436" t="s">
        <v>638</v>
      </c>
      <c r="F28" s="298" t="s">
        <v>652</v>
      </c>
      <c r="G28" s="421" t="s">
        <v>639</v>
      </c>
      <c r="H28" s="421" t="s">
        <v>640</v>
      </c>
      <c r="I28" s="422"/>
      <c r="J28" s="422"/>
      <c r="K28" s="437"/>
      <c r="L28" s="422"/>
      <c r="M28" s="422"/>
    </row>
    <row r="29" spans="1:13" ht="11.25" customHeight="1">
      <c r="A29" s="442"/>
      <c r="B29" s="437"/>
      <c r="C29" s="437"/>
      <c r="D29" s="437"/>
      <c r="E29" s="437"/>
      <c r="F29" s="421" t="s">
        <v>641</v>
      </c>
      <c r="G29" s="422"/>
      <c r="H29" s="422"/>
      <c r="I29" s="422"/>
      <c r="J29" s="422"/>
      <c r="K29" s="437"/>
      <c r="L29" s="422"/>
      <c r="M29" s="422"/>
    </row>
    <row r="30" spans="1:13" ht="11.25" customHeight="1">
      <c r="A30" s="443"/>
      <c r="B30" s="438"/>
      <c r="C30" s="438"/>
      <c r="D30" s="438"/>
      <c r="E30" s="438"/>
      <c r="F30" s="423"/>
      <c r="G30" s="423"/>
      <c r="H30" s="423"/>
      <c r="I30" s="423"/>
      <c r="J30" s="423"/>
      <c r="K30" s="438"/>
      <c r="L30" s="423"/>
      <c r="M30" s="423"/>
    </row>
    <row r="31" spans="1:13" ht="13.5" customHeight="1">
      <c r="A31" s="299">
        <v>1</v>
      </c>
      <c r="B31" s="299">
        <v>2</v>
      </c>
      <c r="C31" s="299">
        <v>3</v>
      </c>
      <c r="D31" s="299">
        <v>4</v>
      </c>
      <c r="E31" s="299">
        <v>5</v>
      </c>
      <c r="F31" s="299">
        <v>6</v>
      </c>
      <c r="G31" s="299">
        <v>7</v>
      </c>
      <c r="H31" s="299">
        <v>8</v>
      </c>
      <c r="I31" s="299">
        <v>9</v>
      </c>
      <c r="J31" s="299">
        <v>10</v>
      </c>
      <c r="K31" s="299">
        <v>11</v>
      </c>
      <c r="L31" s="299">
        <v>12</v>
      </c>
      <c r="M31" s="299">
        <v>13</v>
      </c>
    </row>
    <row r="32" spans="1:13" ht="27.75" customHeight="1">
      <c r="A32" s="300" t="s">
        <v>654</v>
      </c>
      <c r="B32" s="304">
        <f>12597501983.68</f>
        <v>12597501983.68</v>
      </c>
      <c r="C32" s="304">
        <f>12597433182.16</f>
        <v>12597433182.16</v>
      </c>
      <c r="D32" s="304">
        <f>795683903.62</f>
        <v>795683903.62</v>
      </c>
      <c r="E32" s="304">
        <f>59920396.99</f>
        <v>59920396.99</v>
      </c>
      <c r="F32" s="304">
        <f>12182527.84</f>
        <v>12182527.84</v>
      </c>
      <c r="G32" s="304">
        <f>732266508.29</f>
        <v>732266508.29</v>
      </c>
      <c r="H32" s="304">
        <f>3496998.34</f>
        <v>3496998.34</v>
      </c>
      <c r="I32" s="304">
        <f>12542.22</f>
        <v>12542.22</v>
      </c>
      <c r="J32" s="304">
        <f>83261281.09</f>
        <v>83261281.09</v>
      </c>
      <c r="K32" s="304">
        <f>68801.52</f>
        <v>68801.52</v>
      </c>
      <c r="L32" s="304">
        <f>67.2</f>
        <v>67.2</v>
      </c>
      <c r="M32" s="304">
        <f>0</f>
        <v>0</v>
      </c>
    </row>
    <row r="33" spans="1:13" ht="24" customHeight="1">
      <c r="A33" s="302" t="s">
        <v>643</v>
      </c>
      <c r="B33" s="304">
        <f>10443793.25</f>
        <v>10443793.25</v>
      </c>
      <c r="C33" s="304">
        <f>10443793.25</f>
        <v>10443793.25</v>
      </c>
      <c r="D33" s="304">
        <f>0</f>
        <v>0</v>
      </c>
      <c r="E33" s="304">
        <f>0</f>
        <v>0</v>
      </c>
      <c r="F33" s="304">
        <f>0</f>
        <v>0</v>
      </c>
      <c r="G33" s="304">
        <f>0</f>
        <v>0</v>
      </c>
      <c r="H33" s="304">
        <f>0</f>
        <v>0</v>
      </c>
      <c r="I33" s="304">
        <f>0</f>
        <v>0</v>
      </c>
      <c r="J33" s="304">
        <f>6008</f>
        <v>6008</v>
      </c>
      <c r="K33" s="304">
        <f>0</f>
        <v>0</v>
      </c>
      <c r="L33" s="304">
        <f>0</f>
        <v>0</v>
      </c>
      <c r="M33" s="304">
        <f>0</f>
        <v>0</v>
      </c>
    </row>
    <row r="34" spans="1:13" ht="13.5" customHeight="1">
      <c r="A34" s="303" t="s">
        <v>644</v>
      </c>
      <c r="B34" s="304">
        <f>1173832.26</f>
        <v>1173832.26</v>
      </c>
      <c r="C34" s="304">
        <f>1173832.26</f>
        <v>1173832.26</v>
      </c>
      <c r="D34" s="304">
        <f>0</f>
        <v>0</v>
      </c>
      <c r="E34" s="304">
        <f>0</f>
        <v>0</v>
      </c>
      <c r="F34" s="304">
        <f>0</f>
        <v>0</v>
      </c>
      <c r="G34" s="304">
        <f>0</f>
        <v>0</v>
      </c>
      <c r="H34" s="304">
        <f>0</f>
        <v>0</v>
      </c>
      <c r="I34" s="304">
        <f>0</f>
        <v>0</v>
      </c>
      <c r="J34" s="304">
        <f>0</f>
        <v>0</v>
      </c>
      <c r="K34" s="304">
        <f>0</f>
        <v>0</v>
      </c>
      <c r="L34" s="304">
        <f>0</f>
        <v>0</v>
      </c>
      <c r="M34" s="304">
        <f>0</f>
        <v>0</v>
      </c>
    </row>
    <row r="35" spans="1:13" ht="22.5">
      <c r="A35" s="302" t="s">
        <v>645</v>
      </c>
      <c r="B35" s="304">
        <f>602243593.35</f>
        <v>602243593.35</v>
      </c>
      <c r="C35" s="304">
        <f>602243593.35</f>
        <v>602243593.35</v>
      </c>
      <c r="D35" s="304">
        <f>498738788.79</f>
        <v>498738788.79</v>
      </c>
      <c r="E35" s="304">
        <f>742000</f>
        <v>742000</v>
      </c>
      <c r="F35" s="304">
        <f>0</f>
        <v>0</v>
      </c>
      <c r="G35" s="304">
        <f>497996788.79</f>
        <v>497996788.79</v>
      </c>
      <c r="H35" s="304">
        <f>0</f>
        <v>0</v>
      </c>
      <c r="I35" s="304">
        <f>0</f>
        <v>0</v>
      </c>
      <c r="J35" s="304">
        <f>0</f>
        <v>0</v>
      </c>
      <c r="K35" s="304">
        <f>0</f>
        <v>0</v>
      </c>
      <c r="L35" s="304">
        <f>0</f>
        <v>0</v>
      </c>
      <c r="M35" s="304">
        <f>0</f>
        <v>0</v>
      </c>
    </row>
    <row r="36" spans="1:13" ht="13.5" customHeight="1">
      <c r="A36" s="303" t="s">
        <v>644</v>
      </c>
      <c r="B36" s="304">
        <f>486699705.62</f>
        <v>486699705.62</v>
      </c>
      <c r="C36" s="304">
        <f>486699705.62</f>
        <v>486699705.62</v>
      </c>
      <c r="D36" s="304">
        <f>412592801.61</f>
        <v>412592801.61</v>
      </c>
      <c r="E36" s="304">
        <f>0</f>
        <v>0</v>
      </c>
      <c r="F36" s="304">
        <f>0</f>
        <v>0</v>
      </c>
      <c r="G36" s="304">
        <f>412592801.61</f>
        <v>412592801.61</v>
      </c>
      <c r="H36" s="304">
        <f>0</f>
        <v>0</v>
      </c>
      <c r="I36" s="304">
        <f>0</f>
        <v>0</v>
      </c>
      <c r="J36" s="304">
        <f>0</f>
        <v>0</v>
      </c>
      <c r="K36" s="304">
        <f>0</f>
        <v>0</v>
      </c>
      <c r="L36" s="304">
        <f>0</f>
        <v>0</v>
      </c>
      <c r="M36" s="304">
        <f>0</f>
        <v>0</v>
      </c>
    </row>
    <row r="37" spans="1:13" ht="13.5" customHeight="1">
      <c r="A37" s="302" t="s">
        <v>655</v>
      </c>
      <c r="B37" s="304">
        <f>103048853.23</f>
        <v>103048853.23</v>
      </c>
      <c r="C37" s="304">
        <f>103048853.23</f>
        <v>103048853.23</v>
      </c>
      <c r="D37" s="304">
        <f>1808429.05</f>
        <v>1808429.05</v>
      </c>
      <c r="E37" s="304">
        <f>20680</f>
        <v>20680</v>
      </c>
      <c r="F37" s="304">
        <f>0</f>
        <v>0</v>
      </c>
      <c r="G37" s="304">
        <f>1787749.05</f>
        <v>1787749.05</v>
      </c>
      <c r="H37" s="304">
        <f>0</f>
        <v>0</v>
      </c>
      <c r="I37" s="304">
        <f>0</f>
        <v>0</v>
      </c>
      <c r="J37" s="304">
        <f>80753363.62</f>
        <v>80753363.62</v>
      </c>
      <c r="K37" s="304">
        <f>0</f>
        <v>0</v>
      </c>
      <c r="L37" s="304">
        <f>0</f>
        <v>0</v>
      </c>
      <c r="M37" s="304">
        <f>0</f>
        <v>0</v>
      </c>
    </row>
    <row r="38" spans="1:13" ht="25.5" customHeight="1">
      <c r="A38" s="302" t="s">
        <v>656</v>
      </c>
      <c r="B38" s="304">
        <f>11881765743.85</f>
        <v>11881765743.85</v>
      </c>
      <c r="C38" s="304">
        <f>11881696942.33</f>
        <v>11881696942.33</v>
      </c>
      <c r="D38" s="304">
        <f>295136685.78</f>
        <v>295136685.78</v>
      </c>
      <c r="E38" s="304">
        <f>59157716.99</f>
        <v>59157716.99</v>
      </c>
      <c r="F38" s="304">
        <f>12182527.84</f>
        <v>12182527.84</v>
      </c>
      <c r="G38" s="304">
        <f>232481970.45</f>
        <v>232481970.45</v>
      </c>
      <c r="H38" s="304">
        <f>3496998.34</f>
        <v>3496998.34</v>
      </c>
      <c r="I38" s="304">
        <f>12542.22</f>
        <v>12542.22</v>
      </c>
      <c r="J38" s="304">
        <f>2501909.47</f>
        <v>2501909.47</v>
      </c>
      <c r="K38" s="304">
        <f>68801.52</f>
        <v>68801.52</v>
      </c>
      <c r="L38" s="304">
        <f>67.2</f>
        <v>67.2</v>
      </c>
      <c r="M38" s="304">
        <f>0</f>
        <v>0</v>
      </c>
    </row>
    <row r="39" spans="1:13" ht="15.75" customHeight="1">
      <c r="A39" s="302" t="s">
        <v>648</v>
      </c>
      <c r="B39" s="304">
        <f>2326057435.35</f>
        <v>2326057435.35</v>
      </c>
      <c r="C39" s="304">
        <f>2326010290.83</f>
        <v>2326010290.83</v>
      </c>
      <c r="D39" s="304">
        <f>52737687.48</f>
        <v>52737687.48</v>
      </c>
      <c r="E39" s="304">
        <f>6301267.68</f>
        <v>6301267.68</v>
      </c>
      <c r="F39" s="304">
        <f>48621.97</f>
        <v>48621.97</v>
      </c>
      <c r="G39" s="304">
        <f>45788600.78</f>
        <v>45788600.78</v>
      </c>
      <c r="H39" s="304">
        <f>647819.02</f>
        <v>647819.02</v>
      </c>
      <c r="I39" s="304">
        <f>0</f>
        <v>0</v>
      </c>
      <c r="J39" s="304">
        <f>62700.41</f>
        <v>62700.41</v>
      </c>
      <c r="K39" s="304">
        <f>47144.52</f>
        <v>47144.52</v>
      </c>
      <c r="L39" s="304">
        <f>0</f>
        <v>0</v>
      </c>
      <c r="M39" s="304">
        <f>0</f>
        <v>0</v>
      </c>
    </row>
    <row r="40" ht="15.75" customHeight="1"/>
    <row r="41" spans="2:13" ht="13.5" customHeight="1">
      <c r="B41" s="426" t="s">
        <v>657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</row>
    <row r="43" spans="2:11" ht="13.5" customHeight="1">
      <c r="B43" s="427" t="s">
        <v>463</v>
      </c>
      <c r="C43" s="428"/>
      <c r="D43" s="428"/>
      <c r="E43" s="429"/>
      <c r="F43" s="436" t="s">
        <v>465</v>
      </c>
      <c r="G43" s="439" t="s">
        <v>631</v>
      </c>
      <c r="H43" s="439"/>
      <c r="I43" s="439"/>
      <c r="J43" s="439"/>
      <c r="K43" s="440"/>
    </row>
    <row r="44" spans="2:11" ht="13.5" customHeight="1">
      <c r="B44" s="430"/>
      <c r="C44" s="431"/>
      <c r="D44" s="431"/>
      <c r="E44" s="432"/>
      <c r="F44" s="437"/>
      <c r="G44" s="436" t="s">
        <v>658</v>
      </c>
      <c r="H44" s="439" t="s">
        <v>633</v>
      </c>
      <c r="I44" s="439"/>
      <c r="J44" s="439"/>
      <c r="K44" s="440"/>
    </row>
    <row r="45" spans="2:11" ht="13.5" customHeight="1">
      <c r="B45" s="430"/>
      <c r="C45" s="431"/>
      <c r="D45" s="431"/>
      <c r="E45" s="432"/>
      <c r="F45" s="437"/>
      <c r="G45" s="437"/>
      <c r="H45" s="436" t="s">
        <v>638</v>
      </c>
      <c r="I45" s="298" t="s">
        <v>631</v>
      </c>
      <c r="J45" s="421" t="s">
        <v>639</v>
      </c>
      <c r="K45" s="421" t="s">
        <v>640</v>
      </c>
    </row>
    <row r="46" spans="2:11" ht="11.25" customHeight="1">
      <c r="B46" s="430"/>
      <c r="C46" s="431"/>
      <c r="D46" s="431"/>
      <c r="E46" s="432"/>
      <c r="F46" s="437"/>
      <c r="G46" s="437"/>
      <c r="H46" s="437"/>
      <c r="I46" s="421" t="s">
        <v>641</v>
      </c>
      <c r="J46" s="422"/>
      <c r="K46" s="422"/>
    </row>
    <row r="47" spans="2:11" ht="11.25" customHeight="1">
      <c r="B47" s="433"/>
      <c r="C47" s="434"/>
      <c r="D47" s="434"/>
      <c r="E47" s="435"/>
      <c r="F47" s="438"/>
      <c r="G47" s="438"/>
      <c r="H47" s="438"/>
      <c r="I47" s="423"/>
      <c r="J47" s="423"/>
      <c r="K47" s="423"/>
    </row>
    <row r="48" spans="2:11" ht="13.5" customHeight="1">
      <c r="B48" s="425">
        <v>1</v>
      </c>
      <c r="C48" s="425"/>
      <c r="D48" s="425"/>
      <c r="E48" s="425"/>
      <c r="F48" s="299">
        <v>2</v>
      </c>
      <c r="G48" s="299">
        <v>3</v>
      </c>
      <c r="H48" s="299">
        <v>4</v>
      </c>
      <c r="I48" s="299">
        <v>5</v>
      </c>
      <c r="J48" s="299">
        <v>6</v>
      </c>
      <c r="K48" s="299">
        <v>7</v>
      </c>
    </row>
    <row r="49" spans="2:11" ht="33.75" customHeight="1">
      <c r="B49" s="424" t="s">
        <v>659</v>
      </c>
      <c r="C49" s="424"/>
      <c r="D49" s="424"/>
      <c r="E49" s="424"/>
      <c r="F49" s="301">
        <f>3520991045.87</f>
        <v>3520991045.87</v>
      </c>
      <c r="G49" s="301">
        <f>2311189139.41</f>
        <v>2311189139.41</v>
      </c>
      <c r="H49" s="301">
        <f>135440536.36</f>
        <v>135440536.36</v>
      </c>
      <c r="I49" s="301">
        <f>15975750.86</f>
        <v>15975750.86</v>
      </c>
      <c r="J49" s="301">
        <f>1972288869.14</f>
        <v>1972288869.14</v>
      </c>
      <c r="K49" s="301">
        <f>203459733.91</f>
        <v>203459733.91</v>
      </c>
    </row>
    <row r="50" spans="2:11" ht="33.75" customHeight="1">
      <c r="B50" s="424" t="s">
        <v>660</v>
      </c>
      <c r="C50" s="424"/>
      <c r="D50" s="424"/>
      <c r="E50" s="424"/>
      <c r="F50" s="301">
        <f>198149461.16</f>
        <v>198149461.16</v>
      </c>
      <c r="G50" s="301">
        <f>106041359.54</f>
        <v>106041359.54</v>
      </c>
      <c r="H50" s="301">
        <f>10444988.27</f>
        <v>10444988.27</v>
      </c>
      <c r="I50" s="301">
        <f>877550.78</f>
        <v>877550.78</v>
      </c>
      <c r="J50" s="301">
        <f>93168032.97</f>
        <v>93168032.97</v>
      </c>
      <c r="K50" s="301">
        <f>2428338.3</f>
        <v>2428338.3</v>
      </c>
    </row>
    <row r="51" spans="2:11" ht="33.75" customHeight="1">
      <c r="B51" s="424" t="s">
        <v>661</v>
      </c>
      <c r="C51" s="424"/>
      <c r="D51" s="424"/>
      <c r="E51" s="424"/>
      <c r="F51" s="301">
        <f>3146669.72</f>
        <v>3146669.72</v>
      </c>
      <c r="G51" s="301">
        <f>2960792.72</f>
        <v>2960792.72</v>
      </c>
      <c r="H51" s="301">
        <f>368414.33</f>
        <v>368414.33</v>
      </c>
      <c r="I51" s="301">
        <f>0</f>
        <v>0</v>
      </c>
      <c r="J51" s="301">
        <f>2592378.39</f>
        <v>2592378.39</v>
      </c>
      <c r="K51" s="301">
        <f>0</f>
        <v>0</v>
      </c>
    </row>
    <row r="52" spans="2:11" ht="22.5" customHeight="1">
      <c r="B52" s="424" t="s">
        <v>662</v>
      </c>
      <c r="C52" s="424"/>
      <c r="D52" s="424"/>
      <c r="E52" s="424"/>
      <c r="F52" s="301">
        <f>88268792.61</f>
        <v>88268792.61</v>
      </c>
      <c r="G52" s="301">
        <f>49843332.86</f>
        <v>49843332.86</v>
      </c>
      <c r="H52" s="301">
        <f>1345818.35</f>
        <v>1345818.35</v>
      </c>
      <c r="I52" s="301">
        <f>0</f>
        <v>0</v>
      </c>
      <c r="J52" s="301">
        <f>43456100.2</f>
        <v>43456100.2</v>
      </c>
      <c r="K52" s="301">
        <f>5041414.31</f>
        <v>5041414.31</v>
      </c>
    </row>
    <row r="53" spans="2:11" ht="33.75" customHeight="1">
      <c r="B53" s="424" t="s">
        <v>663</v>
      </c>
      <c r="C53" s="424"/>
      <c r="D53" s="424"/>
      <c r="E53" s="424"/>
      <c r="F53" s="301">
        <f>66144063.52</f>
        <v>66144063.52</v>
      </c>
      <c r="G53" s="301">
        <f>31304573.15</f>
        <v>31304573.15</v>
      </c>
      <c r="H53" s="301">
        <f>1232563.5</f>
        <v>1232563.5</v>
      </c>
      <c r="I53" s="301">
        <f>700836.78</f>
        <v>700836.78</v>
      </c>
      <c r="J53" s="301">
        <f>28882268.29</f>
        <v>28882268.29</v>
      </c>
      <c r="K53" s="301">
        <f>1189741.36</f>
        <v>1189741.36</v>
      </c>
    </row>
    <row r="54" spans="2:11" ht="33.75" customHeight="1">
      <c r="B54" s="424" t="s">
        <v>664</v>
      </c>
      <c r="C54" s="424"/>
      <c r="D54" s="424"/>
      <c r="E54" s="424"/>
      <c r="F54" s="301">
        <f>4038794.83</f>
        <v>4038794.83</v>
      </c>
      <c r="G54" s="301">
        <f>3952212.17</f>
        <v>3952212.17</v>
      </c>
      <c r="H54" s="301">
        <f>0</f>
        <v>0</v>
      </c>
      <c r="I54" s="301">
        <f>0</f>
        <v>0</v>
      </c>
      <c r="J54" s="301">
        <f>3952212.17</f>
        <v>3952212.17</v>
      </c>
      <c r="K54" s="301">
        <f>0</f>
        <v>0</v>
      </c>
    </row>
    <row r="55" spans="2:11" ht="22.5" customHeight="1">
      <c r="B55" s="424" t="s">
        <v>665</v>
      </c>
      <c r="C55" s="424"/>
      <c r="D55" s="424"/>
      <c r="E55" s="424"/>
      <c r="F55" s="301">
        <f>780623598.1</f>
        <v>780623598.1</v>
      </c>
      <c r="G55" s="301">
        <f>452743868.17</f>
        <v>452743868.17</v>
      </c>
      <c r="H55" s="301">
        <f>11822449.12</f>
        <v>11822449.12</v>
      </c>
      <c r="I55" s="301">
        <f>0</f>
        <v>0</v>
      </c>
      <c r="J55" s="301">
        <f>435334633.64</f>
        <v>435334633.64</v>
      </c>
      <c r="K55" s="301">
        <f>5586785.41</f>
        <v>5586785.41</v>
      </c>
    </row>
  </sheetData>
  <mergeCells count="59">
    <mergeCell ref="A1:M1"/>
    <mergeCell ref="A3:M3"/>
    <mergeCell ref="A5:A11"/>
    <mergeCell ref="B5:B11"/>
    <mergeCell ref="C5:M5"/>
    <mergeCell ref="C6:J6"/>
    <mergeCell ref="K6:M6"/>
    <mergeCell ref="C7:C11"/>
    <mergeCell ref="D7:J7"/>
    <mergeCell ref="K7:K11"/>
    <mergeCell ref="L7:M7"/>
    <mergeCell ref="A22:M22"/>
    <mergeCell ref="D8:D11"/>
    <mergeCell ref="E8:H8"/>
    <mergeCell ref="I8:I11"/>
    <mergeCell ref="J8:J11"/>
    <mergeCell ref="L8:L11"/>
    <mergeCell ref="M8:M11"/>
    <mergeCell ref="E9:E11"/>
    <mergeCell ref="G9:G11"/>
    <mergeCell ref="H9:H11"/>
    <mergeCell ref="F10:F11"/>
    <mergeCell ref="A24:A30"/>
    <mergeCell ref="B24:B30"/>
    <mergeCell ref="C24:M24"/>
    <mergeCell ref="C25:J25"/>
    <mergeCell ref="K25:M25"/>
    <mergeCell ref="C26:C30"/>
    <mergeCell ref="D26:J26"/>
    <mergeCell ref="K26:K30"/>
    <mergeCell ref="L26:M26"/>
    <mergeCell ref="D27:D30"/>
    <mergeCell ref="E27:H27"/>
    <mergeCell ref="I27:I30"/>
    <mergeCell ref="J27:J30"/>
    <mergeCell ref="L27:L30"/>
    <mergeCell ref="M27:M30"/>
    <mergeCell ref="E28:E30"/>
    <mergeCell ref="G28:G30"/>
    <mergeCell ref="F29:F30"/>
    <mergeCell ref="B43:E47"/>
    <mergeCell ref="F43:F47"/>
    <mergeCell ref="G43:K43"/>
    <mergeCell ref="G44:G47"/>
    <mergeCell ref="H44:K44"/>
    <mergeCell ref="H45:H47"/>
    <mergeCell ref="J45:J47"/>
    <mergeCell ref="K45:K47"/>
    <mergeCell ref="I46:I47"/>
    <mergeCell ref="H28:H30"/>
    <mergeCell ref="B55:E55"/>
    <mergeCell ref="B50:E50"/>
    <mergeCell ref="B51:E51"/>
    <mergeCell ref="B52:E52"/>
    <mergeCell ref="B53:E53"/>
    <mergeCell ref="B48:E48"/>
    <mergeCell ref="B54:E54"/>
    <mergeCell ref="B49:E49"/>
    <mergeCell ref="B41:M41"/>
  </mergeCells>
  <printOptions horizontalCentered="1"/>
  <pageMargins left="0.2362204724409449" right="0.15748031496062992" top="0.5511811023622047" bottom="0.31496062992125984" header="0.15748031496062992" footer="0.1968503937007874"/>
  <pageSetup firstPageNumber="4" useFirstPageNumber="1" horizontalDpi="1200" verticalDpi="1200" orientation="landscape" paperSize="9" scale="90" r:id="rId1"/>
  <headerFooter alignWithMargins="0">
    <oddFooter>&amp;RStrona &amp;P z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9.7109375" style="1" bestFit="1" customWidth="1"/>
    <col min="3" max="3" width="10.421875" style="1" bestFit="1" customWidth="1"/>
    <col min="4" max="4" width="16.8515625" style="1" bestFit="1" customWidth="1"/>
    <col min="5" max="5" width="16.421875" style="1" bestFit="1" customWidth="1"/>
    <col min="6" max="6" width="14.421875" style="1" customWidth="1"/>
    <col min="7" max="7" width="15.421875" style="1" customWidth="1"/>
    <col min="8" max="8" width="13.8515625" style="1" bestFit="1" customWidth="1"/>
    <col min="9" max="9" width="13.28125" style="1" customWidth="1"/>
    <col min="10" max="10" width="12.140625" style="1" customWidth="1"/>
    <col min="11" max="11" width="5.57421875" style="1" bestFit="1" customWidth="1"/>
    <col min="12" max="12" width="4.57421875" style="1" bestFit="1" customWidth="1"/>
    <col min="13" max="16384" width="8.8515625" style="1" customWidth="1"/>
  </cols>
  <sheetData>
    <row r="2" spans="1:12" ht="15.75">
      <c r="A2" s="377" t="s">
        <v>500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ht="12.75">
      <c r="A3" s="2"/>
    </row>
    <row r="4" ht="13.5" thickBot="1">
      <c r="A4" s="2"/>
    </row>
    <row r="5" spans="1:12" ht="12.75" customHeight="1" thickBot="1">
      <c r="A5" s="457" t="s">
        <v>0</v>
      </c>
      <c r="B5" s="452" t="s">
        <v>1</v>
      </c>
      <c r="C5" s="452" t="s">
        <v>2</v>
      </c>
      <c r="D5" s="460" t="s">
        <v>494</v>
      </c>
      <c r="E5" s="452" t="s">
        <v>495</v>
      </c>
      <c r="F5" s="453" t="s">
        <v>3</v>
      </c>
      <c r="G5" s="455" t="s">
        <v>4</v>
      </c>
      <c r="H5" s="3" t="s">
        <v>5</v>
      </c>
      <c r="I5" s="452" t="s">
        <v>6</v>
      </c>
      <c r="J5" s="445" t="s">
        <v>7</v>
      </c>
      <c r="K5" s="447" t="s">
        <v>8</v>
      </c>
      <c r="L5" s="447" t="s">
        <v>9</v>
      </c>
    </row>
    <row r="6" spans="1:12" ht="39.75" customHeight="1" thickBot="1">
      <c r="A6" s="458"/>
      <c r="B6" s="459"/>
      <c r="C6" s="459"/>
      <c r="D6" s="461"/>
      <c r="E6" s="448"/>
      <c r="F6" s="454"/>
      <c r="G6" s="456"/>
      <c r="H6" s="4" t="s">
        <v>10</v>
      </c>
      <c r="I6" s="448"/>
      <c r="J6" s="446"/>
      <c r="K6" s="448"/>
      <c r="L6" s="448"/>
    </row>
    <row r="7" spans="1:12" ht="12.75" thickBot="1">
      <c r="A7" s="458"/>
      <c r="B7" s="459"/>
      <c r="C7" s="459"/>
      <c r="D7" s="449" t="s">
        <v>11</v>
      </c>
      <c r="E7" s="449"/>
      <c r="F7" s="449"/>
      <c r="G7" s="449"/>
      <c r="H7" s="449"/>
      <c r="I7" s="449"/>
      <c r="J7" s="449"/>
      <c r="K7" s="450" t="s">
        <v>12</v>
      </c>
      <c r="L7" s="451"/>
    </row>
    <row r="8" spans="1:12" s="10" customFormat="1" ht="12" thickBot="1">
      <c r="A8" s="5">
        <v>1</v>
      </c>
      <c r="B8" s="6">
        <v>2</v>
      </c>
      <c r="C8" s="91">
        <v>3</v>
      </c>
      <c r="D8" s="96">
        <v>4</v>
      </c>
      <c r="E8" s="104">
        <v>5</v>
      </c>
      <c r="F8" s="9">
        <v>6</v>
      </c>
      <c r="G8" s="117">
        <v>7</v>
      </c>
      <c r="H8" s="96">
        <v>8</v>
      </c>
      <c r="I8" s="8">
        <v>9</v>
      </c>
      <c r="J8" s="9">
        <v>10</v>
      </c>
      <c r="K8" s="5">
        <v>11</v>
      </c>
      <c r="L8" s="6">
        <v>12</v>
      </c>
    </row>
    <row r="9" spans="1:12" ht="12.75">
      <c r="A9" s="11" t="s">
        <v>13</v>
      </c>
      <c r="B9" s="88" t="s">
        <v>14</v>
      </c>
      <c r="C9" s="93">
        <v>2055998</v>
      </c>
      <c r="D9" s="101">
        <v>5010737475.4400015</v>
      </c>
      <c r="E9" s="97">
        <v>4842420240.320002</v>
      </c>
      <c r="F9" s="106">
        <f aca="true" t="shared" si="0" ref="F9:F24">D9-E9</f>
        <v>168317235.1199999</v>
      </c>
      <c r="G9" s="109">
        <v>1078698305.8300002</v>
      </c>
      <c r="H9" s="110">
        <v>28281856.44999999</v>
      </c>
      <c r="I9" s="12">
        <f aca="true" t="shared" si="1" ref="I9:I25">G9/C9</f>
        <v>524.6592194301746</v>
      </c>
      <c r="J9" s="13">
        <f aca="true" t="shared" si="2" ref="J9:J25">H9/C9</f>
        <v>13.755780136945654</v>
      </c>
      <c r="K9" s="14">
        <f aca="true" t="shared" si="3" ref="K9:K25">G9/D9*100</f>
        <v>21.52773541055008</v>
      </c>
      <c r="L9" s="15">
        <f aca="true" t="shared" si="4" ref="L9:L25">H9/D9*100</f>
        <v>0.5644250290226294</v>
      </c>
    </row>
    <row r="10" spans="1:12" ht="12.75">
      <c r="A10" s="16" t="s">
        <v>15</v>
      </c>
      <c r="B10" s="89" t="s">
        <v>16</v>
      </c>
      <c r="C10" s="94">
        <v>1277213</v>
      </c>
      <c r="D10" s="102">
        <v>2846633206.9299974</v>
      </c>
      <c r="E10" s="98">
        <v>2814393535.0800276</v>
      </c>
      <c r="F10" s="107">
        <f t="shared" si="0"/>
        <v>32239671.849969864</v>
      </c>
      <c r="G10" s="111">
        <v>481313336.66999984</v>
      </c>
      <c r="H10" s="112">
        <v>8652115.149999995</v>
      </c>
      <c r="I10" s="18">
        <f t="shared" si="1"/>
        <v>376.84656879471146</v>
      </c>
      <c r="J10" s="19">
        <f t="shared" si="2"/>
        <v>6.774214755095661</v>
      </c>
      <c r="K10" s="14">
        <f t="shared" si="3"/>
        <v>16.908161385115044</v>
      </c>
      <c r="L10" s="15">
        <f t="shared" si="4"/>
        <v>0.3039420438480384</v>
      </c>
    </row>
    <row r="11" spans="1:12" ht="12.75">
      <c r="A11" s="16" t="s">
        <v>17</v>
      </c>
      <c r="B11" s="89" t="s">
        <v>18</v>
      </c>
      <c r="C11" s="94">
        <v>1626814</v>
      </c>
      <c r="D11" s="102">
        <v>3300932746.510003</v>
      </c>
      <c r="E11" s="98">
        <v>3247499605.1000094</v>
      </c>
      <c r="F11" s="107">
        <f t="shared" si="0"/>
        <v>53433141.40999365</v>
      </c>
      <c r="G11" s="111">
        <v>395066792.2200001</v>
      </c>
      <c r="H11" s="112">
        <v>4604154.4</v>
      </c>
      <c r="I11" s="18">
        <f t="shared" si="1"/>
        <v>242.84693408097058</v>
      </c>
      <c r="J11" s="19">
        <f t="shared" si="2"/>
        <v>2.830166448038928</v>
      </c>
      <c r="K11" s="14">
        <f t="shared" si="3"/>
        <v>11.968338120117556</v>
      </c>
      <c r="L11" s="15">
        <f t="shared" si="4"/>
        <v>0.1394804061024225</v>
      </c>
    </row>
    <row r="12" spans="1:12" ht="12.75">
      <c r="A12" s="16" t="s">
        <v>19</v>
      </c>
      <c r="B12" s="89" t="s">
        <v>20</v>
      </c>
      <c r="C12" s="94">
        <v>764901</v>
      </c>
      <c r="D12" s="102">
        <v>1802281000.280002</v>
      </c>
      <c r="E12" s="98">
        <v>1760621217.5700126</v>
      </c>
      <c r="F12" s="107">
        <f t="shared" si="0"/>
        <v>41659782.70998955</v>
      </c>
      <c r="G12" s="111">
        <v>312993886.84</v>
      </c>
      <c r="H12" s="112">
        <v>4896867.4</v>
      </c>
      <c r="I12" s="18">
        <f t="shared" si="1"/>
        <v>409.19529042320505</v>
      </c>
      <c r="J12" s="19">
        <f t="shared" si="2"/>
        <v>6.401962345453857</v>
      </c>
      <c r="K12" s="14">
        <f t="shared" si="3"/>
        <v>17.366541998244074</v>
      </c>
      <c r="L12" s="15">
        <f t="shared" si="4"/>
        <v>0.27170387965246395</v>
      </c>
    </row>
    <row r="13" spans="1:12" ht="12.75">
      <c r="A13" s="16" t="s">
        <v>21</v>
      </c>
      <c r="B13" s="89" t="s">
        <v>22</v>
      </c>
      <c r="C13" s="94">
        <v>1678221</v>
      </c>
      <c r="D13" s="102">
        <v>3595778417.299998</v>
      </c>
      <c r="E13" s="98">
        <v>3549860385.080016</v>
      </c>
      <c r="F13" s="107">
        <f t="shared" si="0"/>
        <v>45918032.21998167</v>
      </c>
      <c r="G13" s="111">
        <v>652071374.7600002</v>
      </c>
      <c r="H13" s="112">
        <v>3378751.02</v>
      </c>
      <c r="I13" s="18">
        <f t="shared" si="1"/>
        <v>388.5491688877688</v>
      </c>
      <c r="J13" s="19">
        <f t="shared" si="2"/>
        <v>2.013293255179145</v>
      </c>
      <c r="K13" s="14">
        <f t="shared" si="3"/>
        <v>18.13435921476019</v>
      </c>
      <c r="L13" s="15">
        <f t="shared" si="4"/>
        <v>0.09396438344877325</v>
      </c>
    </row>
    <row r="14" spans="1:12" ht="12.75">
      <c r="A14" s="16" t="s">
        <v>23</v>
      </c>
      <c r="B14" s="89" t="s">
        <v>24</v>
      </c>
      <c r="C14" s="94">
        <v>2313485</v>
      </c>
      <c r="D14" s="102">
        <v>5105602430.859988</v>
      </c>
      <c r="E14" s="98">
        <v>5030373377.170045</v>
      </c>
      <c r="F14" s="107">
        <f t="shared" si="0"/>
        <v>75229053.68994331</v>
      </c>
      <c r="G14" s="111">
        <v>986418502.8500001</v>
      </c>
      <c r="H14" s="112">
        <v>4198966.48</v>
      </c>
      <c r="I14" s="18">
        <f t="shared" si="1"/>
        <v>426.3777387145368</v>
      </c>
      <c r="J14" s="19">
        <f t="shared" si="2"/>
        <v>1.8149961983760432</v>
      </c>
      <c r="K14" s="14">
        <f t="shared" si="3"/>
        <v>19.320315598561947</v>
      </c>
      <c r="L14" s="15">
        <f t="shared" si="4"/>
        <v>0.08224233157325425</v>
      </c>
    </row>
    <row r="15" spans="1:12" ht="12.75">
      <c r="A15" s="16" t="s">
        <v>25</v>
      </c>
      <c r="B15" s="89" t="s">
        <v>26</v>
      </c>
      <c r="C15" s="94">
        <v>2985873</v>
      </c>
      <c r="D15" s="102">
        <v>7075593118.219998</v>
      </c>
      <c r="E15" s="98">
        <v>6992242582.709948</v>
      </c>
      <c r="F15" s="107">
        <f t="shared" si="0"/>
        <v>83350535.51005077</v>
      </c>
      <c r="G15" s="111">
        <v>1176912945.8699994</v>
      </c>
      <c r="H15" s="112">
        <v>15961719.130000003</v>
      </c>
      <c r="I15" s="18">
        <f t="shared" si="1"/>
        <v>394.1604166922034</v>
      </c>
      <c r="J15" s="19">
        <f t="shared" si="2"/>
        <v>5.345746162010241</v>
      </c>
      <c r="K15" s="14">
        <f t="shared" si="3"/>
        <v>16.633417527067675</v>
      </c>
      <c r="L15" s="15">
        <f t="shared" si="4"/>
        <v>0.2255884257801342</v>
      </c>
    </row>
    <row r="16" spans="1:12" ht="12.75">
      <c r="A16" s="16" t="s">
        <v>27</v>
      </c>
      <c r="B16" s="89" t="s">
        <v>28</v>
      </c>
      <c r="C16" s="94">
        <v>914339</v>
      </c>
      <c r="D16" s="102">
        <v>1889396506.6400018</v>
      </c>
      <c r="E16" s="98">
        <v>1872595222.8499963</v>
      </c>
      <c r="F16" s="107">
        <f t="shared" si="0"/>
        <v>16801283.790005445</v>
      </c>
      <c r="G16" s="111">
        <v>255314164.82999998</v>
      </c>
      <c r="H16" s="112">
        <v>2194831.48</v>
      </c>
      <c r="I16" s="18">
        <f t="shared" si="1"/>
        <v>279.23359369992966</v>
      </c>
      <c r="J16" s="19">
        <f t="shared" si="2"/>
        <v>2.400457029613743</v>
      </c>
      <c r="K16" s="14">
        <f t="shared" si="3"/>
        <v>13.51300078796253</v>
      </c>
      <c r="L16" s="15">
        <f t="shared" si="4"/>
        <v>0.11616574246255842</v>
      </c>
    </row>
    <row r="17" spans="1:12" ht="12.75">
      <c r="A17" s="16" t="s">
        <v>29</v>
      </c>
      <c r="B17" s="89" t="s">
        <v>30</v>
      </c>
      <c r="C17" s="94">
        <v>1769159</v>
      </c>
      <c r="D17" s="102">
        <v>3808948821.609985</v>
      </c>
      <c r="E17" s="98">
        <v>3742241831.6699824</v>
      </c>
      <c r="F17" s="107">
        <f t="shared" si="0"/>
        <v>66706989.94000244</v>
      </c>
      <c r="G17" s="111">
        <v>593486824.7900002</v>
      </c>
      <c r="H17" s="112">
        <v>7099659.299999999</v>
      </c>
      <c r="I17" s="18">
        <f t="shared" si="1"/>
        <v>335.46268299796697</v>
      </c>
      <c r="J17" s="19">
        <f t="shared" si="2"/>
        <v>4.013013697468684</v>
      </c>
      <c r="K17" s="14">
        <f t="shared" si="3"/>
        <v>15.581380915985696</v>
      </c>
      <c r="L17" s="15">
        <f t="shared" si="4"/>
        <v>0.18639418990668088</v>
      </c>
    </row>
    <row r="18" spans="1:12" ht="12.75">
      <c r="A18" s="16" t="s">
        <v>31</v>
      </c>
      <c r="B18" s="89" t="s">
        <v>32</v>
      </c>
      <c r="C18" s="94">
        <v>768638</v>
      </c>
      <c r="D18" s="102">
        <v>1604876792.0099976</v>
      </c>
      <c r="E18" s="98">
        <v>1559667601.0099916</v>
      </c>
      <c r="F18" s="107">
        <f t="shared" si="0"/>
        <v>45209191.00000596</v>
      </c>
      <c r="G18" s="111">
        <v>195741557.27000007</v>
      </c>
      <c r="H18" s="112">
        <v>1837010.89</v>
      </c>
      <c r="I18" s="18">
        <f t="shared" si="1"/>
        <v>254.6602656517113</v>
      </c>
      <c r="J18" s="19">
        <f t="shared" si="2"/>
        <v>2.3899558569833914</v>
      </c>
      <c r="K18" s="14">
        <f t="shared" si="3"/>
        <v>12.19667193422663</v>
      </c>
      <c r="L18" s="15">
        <f t="shared" si="4"/>
        <v>0.11446429402840765</v>
      </c>
    </row>
    <row r="19" spans="1:12" ht="12.75">
      <c r="A19" s="16" t="s">
        <v>33</v>
      </c>
      <c r="B19" s="89" t="s">
        <v>34</v>
      </c>
      <c r="C19" s="94">
        <v>1357377</v>
      </c>
      <c r="D19" s="102">
        <v>3391441760.769988</v>
      </c>
      <c r="E19" s="98">
        <v>3268543364.129997</v>
      </c>
      <c r="F19" s="107">
        <f t="shared" si="0"/>
        <v>122898396.63999128</v>
      </c>
      <c r="G19" s="111">
        <v>627766329.3299999</v>
      </c>
      <c r="H19" s="112">
        <v>10642999.660000004</v>
      </c>
      <c r="I19" s="18">
        <f t="shared" si="1"/>
        <v>462.48487290561127</v>
      </c>
      <c r="J19" s="19">
        <f t="shared" si="2"/>
        <v>7.840857521528657</v>
      </c>
      <c r="K19" s="14">
        <f t="shared" si="3"/>
        <v>18.51030840604713</v>
      </c>
      <c r="L19" s="15">
        <f t="shared" si="4"/>
        <v>0.31381932554795317</v>
      </c>
    </row>
    <row r="20" spans="1:12" ht="12.75">
      <c r="A20" s="16" t="s">
        <v>35</v>
      </c>
      <c r="B20" s="89" t="s">
        <v>36</v>
      </c>
      <c r="C20" s="94">
        <v>1958384</v>
      </c>
      <c r="D20" s="102">
        <v>4272576063.2899942</v>
      </c>
      <c r="E20" s="98">
        <v>4265753159.5399957</v>
      </c>
      <c r="F20" s="107">
        <f t="shared" si="0"/>
        <v>6822903.7499985695</v>
      </c>
      <c r="G20" s="111">
        <v>810450521.95</v>
      </c>
      <c r="H20" s="112">
        <v>5126801.98</v>
      </c>
      <c r="I20" s="18">
        <f t="shared" si="1"/>
        <v>413.8363681229014</v>
      </c>
      <c r="J20" s="19">
        <f t="shared" si="2"/>
        <v>2.6178737060760304</v>
      </c>
      <c r="K20" s="14">
        <f t="shared" si="3"/>
        <v>18.96866222964167</v>
      </c>
      <c r="L20" s="15">
        <f t="shared" si="4"/>
        <v>0.11999322900414862</v>
      </c>
    </row>
    <row r="21" spans="1:12" ht="12.75">
      <c r="A21" s="16" t="s">
        <v>37</v>
      </c>
      <c r="B21" s="89" t="s">
        <v>38</v>
      </c>
      <c r="C21" s="94">
        <v>1072650</v>
      </c>
      <c r="D21" s="102">
        <v>2209501007.0800004</v>
      </c>
      <c r="E21" s="98">
        <v>2174477050.6400037</v>
      </c>
      <c r="F21" s="107">
        <f t="shared" si="0"/>
        <v>35023956.43999672</v>
      </c>
      <c r="G21" s="111">
        <v>327008198.16</v>
      </c>
      <c r="H21" s="112">
        <v>5467940.859999999</v>
      </c>
      <c r="I21" s="18">
        <f t="shared" si="1"/>
        <v>304.86011108935816</v>
      </c>
      <c r="J21" s="19">
        <f t="shared" si="2"/>
        <v>5.0976002050995195</v>
      </c>
      <c r="K21" s="14">
        <f t="shared" si="3"/>
        <v>14.80009274094709</v>
      </c>
      <c r="L21" s="15">
        <f t="shared" si="4"/>
        <v>0.24747401528575175</v>
      </c>
    </row>
    <row r="22" spans="1:12" ht="12.75">
      <c r="A22" s="16" t="s">
        <v>39</v>
      </c>
      <c r="B22" s="89" t="s">
        <v>40</v>
      </c>
      <c r="C22" s="94">
        <v>1124957</v>
      </c>
      <c r="D22" s="102">
        <v>2644397453.14999</v>
      </c>
      <c r="E22" s="98">
        <v>2610722439.6499686</v>
      </c>
      <c r="F22" s="107">
        <f t="shared" si="0"/>
        <v>33675013.50002146</v>
      </c>
      <c r="G22" s="111">
        <v>480446594.83000004</v>
      </c>
      <c r="H22" s="112">
        <v>8734020.959999999</v>
      </c>
      <c r="I22" s="18">
        <f t="shared" si="1"/>
        <v>427.0799637941717</v>
      </c>
      <c r="J22" s="19">
        <f t="shared" si="2"/>
        <v>7.7638709390670035</v>
      </c>
      <c r="K22" s="14">
        <f t="shared" si="3"/>
        <v>18.168471394407636</v>
      </c>
      <c r="L22" s="15">
        <f t="shared" si="4"/>
        <v>0.3302839726152393</v>
      </c>
    </row>
    <row r="23" spans="1:12" ht="12.75">
      <c r="A23" s="16" t="s">
        <v>41</v>
      </c>
      <c r="B23" s="89" t="s">
        <v>42</v>
      </c>
      <c r="C23" s="94">
        <v>2560648</v>
      </c>
      <c r="D23" s="102">
        <v>5587597912.149991</v>
      </c>
      <c r="E23" s="98">
        <v>5563626160.080003</v>
      </c>
      <c r="F23" s="107">
        <f t="shared" si="0"/>
        <v>23971752.06998825</v>
      </c>
      <c r="G23" s="111">
        <v>999267868.8600001</v>
      </c>
      <c r="H23" s="112">
        <v>2409686.18</v>
      </c>
      <c r="I23" s="18">
        <f t="shared" si="1"/>
        <v>390.2402317147847</v>
      </c>
      <c r="J23" s="19">
        <f t="shared" si="2"/>
        <v>0.9410454619299491</v>
      </c>
      <c r="K23" s="14">
        <f t="shared" si="3"/>
        <v>17.88367532114534</v>
      </c>
      <c r="L23" s="15">
        <f t="shared" si="4"/>
        <v>0.04312561887748296</v>
      </c>
    </row>
    <row r="24" spans="1:12" ht="13.5" thickBot="1">
      <c r="A24" s="20" t="s">
        <v>43</v>
      </c>
      <c r="B24" s="90" t="s">
        <v>44</v>
      </c>
      <c r="C24" s="95">
        <v>1135258</v>
      </c>
      <c r="D24" s="103">
        <v>2856834296.0200014</v>
      </c>
      <c r="E24" s="99">
        <v>2779085751.920021</v>
      </c>
      <c r="F24" s="107">
        <f t="shared" si="0"/>
        <v>77748544.09998035</v>
      </c>
      <c r="G24" s="113">
        <v>585601172.4200002</v>
      </c>
      <c r="H24" s="114">
        <v>9010512.299999999</v>
      </c>
      <c r="I24" s="21">
        <f t="shared" si="1"/>
        <v>515.8309145762463</v>
      </c>
      <c r="J24" s="22">
        <f t="shared" si="2"/>
        <v>7.9369731814266</v>
      </c>
      <c r="K24" s="23">
        <f t="shared" si="3"/>
        <v>20.498254772278198</v>
      </c>
      <c r="L24" s="24">
        <f t="shared" si="4"/>
        <v>0.3154019927775648</v>
      </c>
    </row>
    <row r="25" spans="1:12" ht="13.5" thickBot="1">
      <c r="A25" s="375" t="s">
        <v>45</v>
      </c>
      <c r="B25" s="376"/>
      <c r="C25" s="92">
        <f aca="true" t="shared" si="5" ref="C25:H25">SUM(C9:C24)</f>
        <v>25363915</v>
      </c>
      <c r="D25" s="100">
        <f t="shared" si="5"/>
        <v>57003129008.25993</v>
      </c>
      <c r="E25" s="105">
        <f t="shared" si="5"/>
        <v>56074123524.52002</v>
      </c>
      <c r="F25" s="156">
        <f t="shared" si="5"/>
        <v>929005483.7399192</v>
      </c>
      <c r="G25" s="116">
        <f t="shared" si="5"/>
        <v>9958558377.48</v>
      </c>
      <c r="H25" s="100">
        <f t="shared" si="5"/>
        <v>122497893.64000002</v>
      </c>
      <c r="I25" s="115">
        <f t="shared" si="1"/>
        <v>392.6270206109743</v>
      </c>
      <c r="J25" s="25">
        <f t="shared" si="2"/>
        <v>4.829613000989792</v>
      </c>
      <c r="K25" s="26">
        <f t="shared" si="3"/>
        <v>17.47019602386559</v>
      </c>
      <c r="L25" s="27">
        <f t="shared" si="4"/>
        <v>0.21489678859953404</v>
      </c>
    </row>
    <row r="27" ht="12">
      <c r="A27" s="278" t="s">
        <v>507</v>
      </c>
    </row>
    <row r="30" ht="12.75">
      <c r="D30" s="29" t="s">
        <v>46</v>
      </c>
    </row>
  </sheetData>
  <mergeCells count="15">
    <mergeCell ref="A2:L2"/>
    <mergeCell ref="A5:A7"/>
    <mergeCell ref="B5:B7"/>
    <mergeCell ref="C5:C7"/>
    <mergeCell ref="D5:D6"/>
    <mergeCell ref="A25:B25"/>
    <mergeCell ref="J5:J6"/>
    <mergeCell ref="K5:K6"/>
    <mergeCell ref="L5:L6"/>
    <mergeCell ref="D7:J7"/>
    <mergeCell ref="K7:L7"/>
    <mergeCell ref="E5:E6"/>
    <mergeCell ref="F5:F6"/>
    <mergeCell ref="G5:G6"/>
    <mergeCell ref="I5:I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4"/>
  <sheetViews>
    <sheetView showGridLines="0" workbookViewId="0" topLeftCell="B1">
      <selection activeCell="B1" sqref="B1:M1"/>
    </sheetView>
  </sheetViews>
  <sheetFormatPr defaultColWidth="9.140625" defaultRowHeight="12.75"/>
  <cols>
    <col min="1" max="1" width="5.7109375" style="311" hidden="1" customWidth="1"/>
    <col min="2" max="2" width="24.00390625" style="311" customWidth="1"/>
    <col min="3" max="3" width="14.57421875" style="311" customWidth="1"/>
    <col min="4" max="4" width="14.421875" style="311" customWidth="1"/>
    <col min="5" max="5" width="14.00390625" style="311" bestFit="1" customWidth="1"/>
    <col min="6" max="6" width="13.140625" style="311" bestFit="1" customWidth="1"/>
    <col min="7" max="7" width="12.140625" style="311" bestFit="1" customWidth="1"/>
    <col min="8" max="8" width="11.7109375" style="311" bestFit="1" customWidth="1"/>
    <col min="9" max="9" width="13.00390625" style="311" customWidth="1"/>
    <col min="10" max="10" width="10.8515625" style="311" bestFit="1" customWidth="1"/>
    <col min="11" max="11" width="7.7109375" style="311" bestFit="1" customWidth="1"/>
    <col min="12" max="12" width="7.57421875" style="311" bestFit="1" customWidth="1"/>
    <col min="13" max="13" width="8.7109375" style="311" customWidth="1"/>
    <col min="14" max="16384" width="9.140625" style="311" customWidth="1"/>
  </cols>
  <sheetData>
    <row r="1" spans="2:13" ht="15.75">
      <c r="B1" s="420" t="s">
        <v>667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ht="12.75"/>
    <row r="3" spans="2:13" ht="66.75" customHeight="1">
      <c r="B3" s="419" t="s">
        <v>525</v>
      </c>
      <c r="C3" s="305" t="s">
        <v>610</v>
      </c>
      <c r="D3" s="305" t="s">
        <v>611</v>
      </c>
      <c r="E3" s="305" t="s">
        <v>612</v>
      </c>
      <c r="F3" s="305" t="s">
        <v>613</v>
      </c>
      <c r="G3" s="305" t="s">
        <v>614</v>
      </c>
      <c r="H3" s="305" t="s">
        <v>615</v>
      </c>
      <c r="I3" s="305" t="s">
        <v>616</v>
      </c>
      <c r="J3" s="305" t="s">
        <v>617</v>
      </c>
      <c r="K3" s="308" t="s">
        <v>526</v>
      </c>
      <c r="L3" s="305" t="s">
        <v>527</v>
      </c>
      <c r="M3" s="305" t="s">
        <v>528</v>
      </c>
    </row>
    <row r="4" spans="2:13" ht="12.75">
      <c r="B4" s="419"/>
      <c r="C4" s="415"/>
      <c r="D4" s="415"/>
      <c r="E4" s="415"/>
      <c r="F4" s="415"/>
      <c r="G4" s="415"/>
      <c r="H4" s="415"/>
      <c r="I4" s="415"/>
      <c r="J4" s="415"/>
      <c r="K4" s="415" t="s">
        <v>12</v>
      </c>
      <c r="L4" s="415"/>
      <c r="M4" s="415"/>
    </row>
    <row r="5" spans="2:13" ht="12.75">
      <c r="B5" s="308">
        <v>1</v>
      </c>
      <c r="C5" s="310">
        <v>2</v>
      </c>
      <c r="D5" s="310">
        <v>3</v>
      </c>
      <c r="E5" s="310">
        <v>4</v>
      </c>
      <c r="F5" s="308">
        <v>5</v>
      </c>
      <c r="G5" s="310">
        <v>6</v>
      </c>
      <c r="H5" s="308">
        <v>7</v>
      </c>
      <c r="I5" s="310">
        <v>8</v>
      </c>
      <c r="J5" s="308">
        <v>9</v>
      </c>
      <c r="K5" s="310">
        <v>10</v>
      </c>
      <c r="L5" s="308">
        <v>11</v>
      </c>
      <c r="M5" s="310">
        <v>12</v>
      </c>
    </row>
    <row r="6" spans="2:13" ht="25.5" customHeight="1">
      <c r="B6" s="312" t="s">
        <v>529</v>
      </c>
      <c r="C6" s="313">
        <f>56540827828.99</f>
        <v>56540827828.99</v>
      </c>
      <c r="D6" s="313">
        <f>57003129008.26</f>
        <v>57003129008.26</v>
      </c>
      <c r="E6" s="313">
        <f>56578858440.48</f>
        <v>56578858440.48</v>
      </c>
      <c r="F6" s="313">
        <f>1712695357.16</f>
        <v>1712695357.16</v>
      </c>
      <c r="G6" s="313">
        <f>397467798.32</f>
        <v>397467798.32</v>
      </c>
      <c r="H6" s="313">
        <f>194286125.13</f>
        <v>194286125.13</v>
      </c>
      <c r="I6" s="313">
        <f>112056480.57</f>
        <v>112056480.57</v>
      </c>
      <c r="J6" s="313">
        <f>18567864.58</f>
        <v>18567864.58</v>
      </c>
      <c r="K6" s="314">
        <f aca="true" t="shared" si="0" ref="K6:K38">IF($D$6=0,"",100*$D6/$D$6)</f>
        <v>100</v>
      </c>
      <c r="L6" s="314">
        <f aca="true" t="shared" si="1" ref="L6:L38">IF(C6=0,"",100*D6/C6)</f>
        <v>100.81764133462681</v>
      </c>
      <c r="M6" s="314"/>
    </row>
    <row r="7" spans="2:13" ht="25.5" customHeight="1">
      <c r="B7" s="312" t="s">
        <v>530</v>
      </c>
      <c r="C7" s="313">
        <f>C6-C22-C33</f>
        <v>27302223211.199997</v>
      </c>
      <c r="D7" s="313">
        <f>D6-D22-D33</f>
        <v>28219039477.440002</v>
      </c>
      <c r="E7" s="313">
        <f>E6-E22-E33</f>
        <v>27773557785.700005</v>
      </c>
      <c r="F7" s="313">
        <f>F6</f>
        <v>1712695357.16</v>
      </c>
      <c r="G7" s="313">
        <f>G6</f>
        <v>397467798.32</v>
      </c>
      <c r="H7" s="313">
        <f>H6</f>
        <v>194286125.13</v>
      </c>
      <c r="I7" s="313">
        <f>I6</f>
        <v>112056480.57</v>
      </c>
      <c r="J7" s="313">
        <f>J6</f>
        <v>18567864.58</v>
      </c>
      <c r="K7" s="314">
        <f t="shared" si="0"/>
        <v>49.50436926602913</v>
      </c>
      <c r="L7" s="314">
        <f t="shared" si="1"/>
        <v>103.3580278761471</v>
      </c>
      <c r="M7" s="314">
        <f aca="true" t="shared" si="2" ref="M7:M21">IF($D$7=0,"",100*$D7/$D$7)</f>
        <v>99.99999999999999</v>
      </c>
    </row>
    <row r="8" spans="2:13" ht="22.5" customHeight="1">
      <c r="B8" s="315" t="s">
        <v>531</v>
      </c>
      <c r="C8" s="316">
        <f>538477487.13</f>
        <v>538477487.13</v>
      </c>
      <c r="D8" s="316">
        <f>657412753.87</f>
        <v>657412753.87</v>
      </c>
      <c r="E8" s="316">
        <f>655772869.72</f>
        <v>655772869.72</v>
      </c>
      <c r="F8" s="316">
        <f>0</f>
        <v>0</v>
      </c>
      <c r="G8" s="316">
        <f>0</f>
        <v>0</v>
      </c>
      <c r="H8" s="316">
        <f>0</f>
        <v>0</v>
      </c>
      <c r="I8" s="316">
        <f>0</f>
        <v>0</v>
      </c>
      <c r="J8" s="316">
        <f>0</f>
        <v>0</v>
      </c>
      <c r="K8" s="317">
        <f t="shared" si="0"/>
        <v>1.1532923986940051</v>
      </c>
      <c r="L8" s="317">
        <f t="shared" si="1"/>
        <v>122.08732390538854</v>
      </c>
      <c r="M8" s="317">
        <f t="shared" si="2"/>
        <v>2.32967799770639</v>
      </c>
    </row>
    <row r="9" spans="2:13" ht="22.5" customHeight="1">
      <c r="B9" s="315" t="s">
        <v>532</v>
      </c>
      <c r="C9" s="316">
        <f>8615631187</f>
        <v>8615631187</v>
      </c>
      <c r="D9" s="316">
        <f>9264684248</f>
        <v>9264684248</v>
      </c>
      <c r="E9" s="316">
        <f>8948887531.06</f>
        <v>8948887531.06</v>
      </c>
      <c r="F9" s="316">
        <f>0</f>
        <v>0</v>
      </c>
      <c r="G9" s="316">
        <f>0</f>
        <v>0</v>
      </c>
      <c r="H9" s="316">
        <f>0</f>
        <v>0</v>
      </c>
      <c r="I9" s="316">
        <f>0</f>
        <v>0</v>
      </c>
      <c r="J9" s="316">
        <f>0</f>
        <v>0</v>
      </c>
      <c r="K9" s="317">
        <f t="shared" si="0"/>
        <v>16.25293981082601</v>
      </c>
      <c r="L9" s="317">
        <f t="shared" si="1"/>
        <v>107.53343599456007</v>
      </c>
      <c r="M9" s="317">
        <f t="shared" si="2"/>
        <v>32.83132388473656</v>
      </c>
    </row>
    <row r="10" spans="2:13" ht="13.5" customHeight="1">
      <c r="B10" s="315" t="s">
        <v>533</v>
      </c>
      <c r="C10" s="316">
        <f>921122698.52</f>
        <v>921122698.52</v>
      </c>
      <c r="D10" s="316">
        <f>915442723.08</f>
        <v>915442723.08</v>
      </c>
      <c r="E10" s="316">
        <f>913918976.41</f>
        <v>913918976.41</v>
      </c>
      <c r="F10" s="316">
        <f>130880021.93</f>
        <v>130880021.93</v>
      </c>
      <c r="G10" s="316">
        <f>3254546.85</f>
        <v>3254546.85</v>
      </c>
      <c r="H10" s="316">
        <f>16754552.48</f>
        <v>16754552.48</v>
      </c>
      <c r="I10" s="316">
        <f>7561864.33</f>
        <v>7561864.33</v>
      </c>
      <c r="J10" s="316">
        <f>101272.67</f>
        <v>101272.67</v>
      </c>
      <c r="K10" s="317">
        <f t="shared" si="0"/>
        <v>1.6059517065235986</v>
      </c>
      <c r="L10" s="317">
        <f t="shared" si="1"/>
        <v>99.38336386139152</v>
      </c>
      <c r="M10" s="317">
        <f t="shared" si="2"/>
        <v>3.244060535128632</v>
      </c>
    </row>
    <row r="11" spans="2:13" ht="13.5" customHeight="1">
      <c r="B11" s="315" t="s">
        <v>534</v>
      </c>
      <c r="C11" s="316">
        <f>7513454200.65</f>
        <v>7513454200.65</v>
      </c>
      <c r="D11" s="318">
        <f>7595556973.2</f>
        <v>7595556973.2</v>
      </c>
      <c r="E11" s="316">
        <f>7571187489.41</f>
        <v>7571187489.41</v>
      </c>
      <c r="F11" s="316">
        <f>1327885806.81</f>
        <v>1327885806.81</v>
      </c>
      <c r="G11" s="316">
        <f>383079692.71</f>
        <v>383079692.71</v>
      </c>
      <c r="H11" s="316">
        <f>142102175.53</f>
        <v>142102175.53</v>
      </c>
      <c r="I11" s="316">
        <f>85650087.89</f>
        <v>85650087.89</v>
      </c>
      <c r="J11" s="316">
        <f>15154705.86</f>
        <v>15154705.86</v>
      </c>
      <c r="K11" s="317">
        <f t="shared" si="0"/>
        <v>13.324807085764311</v>
      </c>
      <c r="L11" s="317">
        <f t="shared" si="1"/>
        <v>101.09274336886085</v>
      </c>
      <c r="M11" s="317">
        <f t="shared" si="2"/>
        <v>26.916426334327735</v>
      </c>
    </row>
    <row r="12" spans="2:13" ht="13.5" customHeight="1">
      <c r="B12" s="315" t="s">
        <v>535</v>
      </c>
      <c r="C12" s="316">
        <f>152820478.46</f>
        <v>152820478.46</v>
      </c>
      <c r="D12" s="318">
        <f>155708056.1</f>
        <v>155708056.1</v>
      </c>
      <c r="E12" s="316">
        <f>155668319.24</f>
        <v>155668319.24</v>
      </c>
      <c r="F12" s="316">
        <f>1808592.54</f>
        <v>1808592.54</v>
      </c>
      <c r="G12" s="316">
        <f>307944.88</f>
        <v>307944.88</v>
      </c>
      <c r="H12" s="316">
        <f>396374.3</f>
        <v>396374.3</v>
      </c>
      <c r="I12" s="316">
        <f>31560.24</f>
        <v>31560.24</v>
      </c>
      <c r="J12" s="316">
        <f>4324.47</f>
        <v>4324.47</v>
      </c>
      <c r="K12" s="317">
        <f t="shared" si="0"/>
        <v>0.2731570333225694</v>
      </c>
      <c r="L12" s="317">
        <f t="shared" si="1"/>
        <v>101.88952270605265</v>
      </c>
      <c r="M12" s="317">
        <f t="shared" si="2"/>
        <v>0.5517836857079504</v>
      </c>
    </row>
    <row r="13" spans="2:13" ht="22.5" customHeight="1">
      <c r="B13" s="315" t="s">
        <v>536</v>
      </c>
      <c r="C13" s="316">
        <f>459019687.71</f>
        <v>459019687.71</v>
      </c>
      <c r="D13" s="318">
        <f>488154948.54</f>
        <v>488154948.54</v>
      </c>
      <c r="E13" s="316">
        <f>483896411.15</f>
        <v>483896411.15</v>
      </c>
      <c r="F13" s="316">
        <f>232664309.82</f>
        <v>232664309.82</v>
      </c>
      <c r="G13" s="316">
        <f>3475520.68</f>
        <v>3475520.68</v>
      </c>
      <c r="H13" s="316">
        <f>7198305.23</f>
        <v>7198305.23</v>
      </c>
      <c r="I13" s="316">
        <f>6106316.31</f>
        <v>6106316.31</v>
      </c>
      <c r="J13" s="316">
        <f>106409.14</f>
        <v>106409.14</v>
      </c>
      <c r="K13" s="317">
        <f t="shared" si="0"/>
        <v>0.8563651803557384</v>
      </c>
      <c r="L13" s="317">
        <f t="shared" si="1"/>
        <v>106.34727912768899</v>
      </c>
      <c r="M13" s="317">
        <f t="shared" si="2"/>
        <v>1.7298779745152575</v>
      </c>
    </row>
    <row r="14" spans="2:13" ht="33" customHeight="1">
      <c r="B14" s="315" t="s">
        <v>537</v>
      </c>
      <c r="C14" s="316">
        <f>53354692.45</f>
        <v>53354692.45</v>
      </c>
      <c r="D14" s="318">
        <f>53591580.26</f>
        <v>53591580.26</v>
      </c>
      <c r="E14" s="316">
        <f>53336379.19</f>
        <v>53336379.19</v>
      </c>
      <c r="F14" s="316">
        <f>0</f>
        <v>0</v>
      </c>
      <c r="G14" s="316">
        <f>21069.46</f>
        <v>21069.46</v>
      </c>
      <c r="H14" s="316">
        <f>189923.32</f>
        <v>189923.32</v>
      </c>
      <c r="I14" s="316">
        <f>207230.46</f>
        <v>207230.46</v>
      </c>
      <c r="J14" s="316">
        <f>0</f>
        <v>0</v>
      </c>
      <c r="K14" s="317">
        <f t="shared" si="0"/>
        <v>0.09401515529478101</v>
      </c>
      <c r="L14" s="317">
        <f t="shared" si="1"/>
        <v>100.44398683437636</v>
      </c>
      <c r="M14" s="317">
        <f t="shared" si="2"/>
        <v>0.18991284342914766</v>
      </c>
    </row>
    <row r="15" spans="2:13" ht="22.5" customHeight="1">
      <c r="B15" s="315" t="s">
        <v>538</v>
      </c>
      <c r="C15" s="316">
        <f>85028536.23</f>
        <v>85028536.23</v>
      </c>
      <c r="D15" s="318">
        <f>112715675.33</f>
        <v>112715675.33</v>
      </c>
      <c r="E15" s="316">
        <f>112396902.44</f>
        <v>112396902.44</v>
      </c>
      <c r="F15" s="316">
        <f>0</f>
        <v>0</v>
      </c>
      <c r="G15" s="316">
        <f>76709.98</f>
        <v>76709.98</v>
      </c>
      <c r="H15" s="316">
        <f>4748590.63</f>
        <v>4748590.63</v>
      </c>
      <c r="I15" s="316">
        <f>5275728.27</f>
        <v>5275728.27</v>
      </c>
      <c r="J15" s="316">
        <f>0</f>
        <v>0</v>
      </c>
      <c r="K15" s="317">
        <f t="shared" si="0"/>
        <v>0.1977359441332896</v>
      </c>
      <c r="L15" s="317">
        <f t="shared" si="1"/>
        <v>132.56217303930413</v>
      </c>
      <c r="M15" s="317">
        <f t="shared" si="2"/>
        <v>0.3994312968026842</v>
      </c>
    </row>
    <row r="16" spans="2:13" ht="22.5" customHeight="1">
      <c r="B16" s="315" t="s">
        <v>539</v>
      </c>
      <c r="C16" s="316">
        <f>684125920.2</f>
        <v>684125920.2</v>
      </c>
      <c r="D16" s="318">
        <f>911722329.16</f>
        <v>911722329.16</v>
      </c>
      <c r="E16" s="316">
        <f>914684738.96</f>
        <v>914684738.96</v>
      </c>
      <c r="F16" s="316">
        <f>0</f>
        <v>0</v>
      </c>
      <c r="G16" s="316">
        <f>7580</f>
        <v>7580</v>
      </c>
      <c r="H16" s="316">
        <f>166771.75</f>
        <v>166771.75</v>
      </c>
      <c r="I16" s="316">
        <f>83963.13</f>
        <v>83963.13</v>
      </c>
      <c r="J16" s="316">
        <f>0</f>
        <v>0</v>
      </c>
      <c r="K16" s="317">
        <f t="shared" si="0"/>
        <v>1.5994250579260088</v>
      </c>
      <c r="L16" s="317">
        <f t="shared" si="1"/>
        <v>133.26820432318416</v>
      </c>
      <c r="M16" s="317">
        <f t="shared" si="2"/>
        <v>3.230876550170624</v>
      </c>
    </row>
    <row r="17" spans="2:13" ht="13.5" customHeight="1">
      <c r="B17" s="315" t="s">
        <v>540</v>
      </c>
      <c r="C17" s="316">
        <f>294268910.34</f>
        <v>294268910.34</v>
      </c>
      <c r="D17" s="318">
        <f>285803695.15</f>
        <v>285803695.15</v>
      </c>
      <c r="E17" s="316">
        <f>283879112.17</f>
        <v>283879112.17</v>
      </c>
      <c r="F17" s="316">
        <f>0</f>
        <v>0</v>
      </c>
      <c r="G17" s="316">
        <f>3100</f>
        <v>3100</v>
      </c>
      <c r="H17" s="316">
        <f>19364.17</f>
        <v>19364.17</v>
      </c>
      <c r="I17" s="316">
        <f>9414</f>
        <v>9414</v>
      </c>
      <c r="J17" s="316">
        <f>0</f>
        <v>0</v>
      </c>
      <c r="K17" s="317">
        <f t="shared" si="0"/>
        <v>0.5013824681599246</v>
      </c>
      <c r="L17" s="317">
        <f t="shared" si="1"/>
        <v>97.12330630503261</v>
      </c>
      <c r="M17" s="317">
        <f t="shared" si="2"/>
        <v>1.0128044768443967</v>
      </c>
    </row>
    <row r="18" spans="2:13" ht="22.5" customHeight="1">
      <c r="B18" s="315" t="s">
        <v>541</v>
      </c>
      <c r="C18" s="316">
        <f>206187488.51</f>
        <v>206187488.51</v>
      </c>
      <c r="D18" s="318">
        <f>214412903.96</f>
        <v>214412903.96</v>
      </c>
      <c r="E18" s="316">
        <f>214238552.79</f>
        <v>214238552.79</v>
      </c>
      <c r="F18" s="316">
        <f>0</f>
        <v>0</v>
      </c>
      <c r="G18" s="316">
        <f>2956.58</f>
        <v>2956.58</v>
      </c>
      <c r="H18" s="316">
        <f>318751.39</f>
        <v>318751.39</v>
      </c>
      <c r="I18" s="316">
        <f>130801</f>
        <v>130801</v>
      </c>
      <c r="J18" s="316">
        <f>37367.07</f>
        <v>37367.07</v>
      </c>
      <c r="K18" s="317">
        <f t="shared" si="0"/>
        <v>0.3761423411141705</v>
      </c>
      <c r="L18" s="317">
        <f t="shared" si="1"/>
        <v>103.9892893159718</v>
      </c>
      <c r="M18" s="317">
        <f t="shared" si="2"/>
        <v>0.7598164499235156</v>
      </c>
    </row>
    <row r="19" spans="2:13" ht="13.5" customHeight="1">
      <c r="B19" s="315" t="s">
        <v>542</v>
      </c>
      <c r="C19" s="316">
        <f>144624472.45</f>
        <v>144624472.45</v>
      </c>
      <c r="D19" s="318">
        <f>144365502.38</f>
        <v>144365502.38</v>
      </c>
      <c r="E19" s="316">
        <f>143314036.17</f>
        <v>143314036.17</v>
      </c>
      <c r="F19" s="316">
        <f>14669010.29</f>
        <v>14669010.29</v>
      </c>
      <c r="G19" s="316">
        <f>4800</f>
        <v>4800</v>
      </c>
      <c r="H19" s="316">
        <f>403723.38</f>
        <v>403723.38</v>
      </c>
      <c r="I19" s="316">
        <f>74043.18</f>
        <v>74043.18</v>
      </c>
      <c r="J19" s="316">
        <f>0</f>
        <v>0</v>
      </c>
      <c r="K19" s="317">
        <f t="shared" si="0"/>
        <v>0.253258908575143</v>
      </c>
      <c r="L19" s="317">
        <f t="shared" si="1"/>
        <v>99.82093620421708</v>
      </c>
      <c r="M19" s="317">
        <f t="shared" si="2"/>
        <v>0.5115890017993506</v>
      </c>
    </row>
    <row r="20" spans="2:13" ht="13.5" customHeight="1">
      <c r="B20" s="315" t="s">
        <v>543</v>
      </c>
      <c r="C20" s="316">
        <f>2682951813.31</f>
        <v>2682951813.31</v>
      </c>
      <c r="D20" s="318">
        <f>2730649900.91</f>
        <v>2730649900.91</v>
      </c>
      <c r="E20" s="316">
        <f>2696807879.34</f>
        <v>2696807879.34</v>
      </c>
      <c r="F20" s="316">
        <f>0</f>
        <v>0</v>
      </c>
      <c r="G20" s="316">
        <f>146979.92</f>
        <v>146979.92</v>
      </c>
      <c r="H20" s="316">
        <f>32239.74</f>
        <v>32239.74</v>
      </c>
      <c r="I20" s="316">
        <f>29952.15</f>
        <v>29952.15</v>
      </c>
      <c r="J20" s="316">
        <f>96387.69</f>
        <v>96387.69</v>
      </c>
      <c r="K20" s="317">
        <f t="shared" si="0"/>
        <v>4.790350895499643</v>
      </c>
      <c r="L20" s="317">
        <f t="shared" si="1"/>
        <v>101.7778212550584</v>
      </c>
      <c r="M20" s="317">
        <f t="shared" si="2"/>
        <v>9.676622420451432</v>
      </c>
    </row>
    <row r="21" spans="2:13" ht="13.5" customHeight="1">
      <c r="B21" s="315" t="s">
        <v>544</v>
      </c>
      <c r="C21" s="316">
        <f aca="true" t="shared" si="3" ref="C21:J21">C7-C8-C9-C10-C11-C12-C13-C14-C15-C16-C17-C18-C19-C20</f>
        <v>4951155638.239998</v>
      </c>
      <c r="D21" s="316">
        <f t="shared" si="3"/>
        <v>4688818187.5</v>
      </c>
      <c r="E21" s="316">
        <f t="shared" si="3"/>
        <v>4625568587.650005</v>
      </c>
      <c r="F21" s="316">
        <f t="shared" si="3"/>
        <v>4787615.770000093</v>
      </c>
      <c r="G21" s="316">
        <f t="shared" si="3"/>
        <v>7086897.2599999895</v>
      </c>
      <c r="H21" s="316">
        <f t="shared" si="3"/>
        <v>21955353.21000001</v>
      </c>
      <c r="I21" s="316">
        <f t="shared" si="3"/>
        <v>6895519.609999997</v>
      </c>
      <c r="J21" s="316">
        <f t="shared" si="3"/>
        <v>3067397.679999997</v>
      </c>
      <c r="K21" s="317">
        <f t="shared" si="0"/>
        <v>8.225545279839936</v>
      </c>
      <c r="L21" s="317">
        <f t="shared" si="1"/>
        <v>94.70149052245807</v>
      </c>
      <c r="M21" s="317">
        <f t="shared" si="2"/>
        <v>16.615796548456313</v>
      </c>
    </row>
    <row r="22" spans="2:13" ht="25.5" customHeight="1">
      <c r="B22" s="312" t="s">
        <v>545</v>
      </c>
      <c r="C22" s="313">
        <f>C23+C25+C27+C29+C31</f>
        <v>11377920845.789999</v>
      </c>
      <c r="D22" s="313">
        <f>D23+D25+D27+D29+D31</f>
        <v>10918517650.819998</v>
      </c>
      <c r="E22" s="313">
        <f>E23+E25+E27+E29+E31</f>
        <v>10917580345.88</v>
      </c>
      <c r="F22" s="316" t="s">
        <v>546</v>
      </c>
      <c r="G22" s="316" t="s">
        <v>546</v>
      </c>
      <c r="H22" s="316" t="s">
        <v>546</v>
      </c>
      <c r="I22" s="316" t="s">
        <v>546</v>
      </c>
      <c r="J22" s="316" t="s">
        <v>546</v>
      </c>
      <c r="K22" s="314">
        <f t="shared" si="0"/>
        <v>19.154242654360004</v>
      </c>
      <c r="L22" s="314">
        <f t="shared" si="1"/>
        <v>95.96232737776526</v>
      </c>
      <c r="M22" s="319"/>
    </row>
    <row r="23" spans="2:13" ht="22.5" customHeight="1">
      <c r="B23" s="315" t="s">
        <v>547</v>
      </c>
      <c r="C23" s="316">
        <f>8353484363.51</f>
        <v>8353484363.51</v>
      </c>
      <c r="D23" s="316">
        <f>8095780850.44</f>
        <v>8095780850.44</v>
      </c>
      <c r="E23" s="316">
        <f>8092873255.16</f>
        <v>8092873255.16</v>
      </c>
      <c r="F23" s="316" t="s">
        <v>546</v>
      </c>
      <c r="G23" s="316" t="s">
        <v>546</v>
      </c>
      <c r="H23" s="316" t="s">
        <v>546</v>
      </c>
      <c r="I23" s="316" t="s">
        <v>546</v>
      </c>
      <c r="J23" s="316" t="s">
        <v>546</v>
      </c>
      <c r="K23" s="317">
        <f t="shared" si="0"/>
        <v>14.202344662986633</v>
      </c>
      <c r="L23" s="317">
        <f t="shared" si="1"/>
        <v>96.91501771170232</v>
      </c>
      <c r="M23" s="319"/>
    </row>
    <row r="24" spans="2:13" ht="13.5" customHeight="1">
      <c r="B24" s="320" t="s">
        <v>548</v>
      </c>
      <c r="C24" s="316">
        <f>15585803</f>
        <v>15585803</v>
      </c>
      <c r="D24" s="316">
        <f>14023075.98</f>
        <v>14023075.98</v>
      </c>
      <c r="E24" s="316">
        <f>14023080.98</f>
        <v>14023080.98</v>
      </c>
      <c r="F24" s="316" t="s">
        <v>546</v>
      </c>
      <c r="G24" s="316" t="s">
        <v>546</v>
      </c>
      <c r="H24" s="316" t="s">
        <v>546</v>
      </c>
      <c r="I24" s="316" t="s">
        <v>546</v>
      </c>
      <c r="J24" s="316" t="s">
        <v>546</v>
      </c>
      <c r="K24" s="317">
        <f t="shared" si="0"/>
        <v>0.024600537240627607</v>
      </c>
      <c r="L24" s="317">
        <f t="shared" si="1"/>
        <v>89.97339424859919</v>
      </c>
      <c r="M24" s="319"/>
    </row>
    <row r="25" spans="2:13" ht="13.5" customHeight="1">
      <c r="B25" s="315" t="s">
        <v>549</v>
      </c>
      <c r="C25" s="316">
        <f>2356889472.77</f>
        <v>2356889472.77</v>
      </c>
      <c r="D25" s="316">
        <f>2202191359.84</f>
        <v>2202191359.84</v>
      </c>
      <c r="E25" s="316">
        <f>2205455060.75</f>
        <v>2205455060.75</v>
      </c>
      <c r="F25" s="316" t="s">
        <v>546</v>
      </c>
      <c r="G25" s="316" t="s">
        <v>546</v>
      </c>
      <c r="H25" s="316" t="s">
        <v>546</v>
      </c>
      <c r="I25" s="316" t="s">
        <v>546</v>
      </c>
      <c r="J25" s="316" t="s">
        <v>546</v>
      </c>
      <c r="K25" s="317">
        <f t="shared" si="0"/>
        <v>3.863281539371098</v>
      </c>
      <c r="L25" s="317">
        <f t="shared" si="1"/>
        <v>93.43634418510993</v>
      </c>
      <c r="M25" s="319"/>
    </row>
    <row r="26" spans="2:13" ht="13.5" customHeight="1">
      <c r="B26" s="320" t="s">
        <v>548</v>
      </c>
      <c r="C26" s="316">
        <f>332092460.33</f>
        <v>332092460.33</v>
      </c>
      <c r="D26" s="316">
        <f>287632734.33</f>
        <v>287632734.33</v>
      </c>
      <c r="E26" s="316">
        <f>286281039.32</f>
        <v>286281039.32</v>
      </c>
      <c r="F26" s="316" t="s">
        <v>546</v>
      </c>
      <c r="G26" s="316" t="s">
        <v>546</v>
      </c>
      <c r="H26" s="316" t="s">
        <v>546</v>
      </c>
      <c r="I26" s="316" t="s">
        <v>546</v>
      </c>
      <c r="J26" s="316" t="s">
        <v>546</v>
      </c>
      <c r="K26" s="317">
        <f t="shared" si="0"/>
        <v>0.5045911326873316</v>
      </c>
      <c r="L26" s="317">
        <f t="shared" si="1"/>
        <v>86.61224468757274</v>
      </c>
      <c r="M26" s="319"/>
    </row>
    <row r="27" spans="2:13" ht="33" customHeight="1">
      <c r="B27" s="315" t="s">
        <v>550</v>
      </c>
      <c r="C27" s="316">
        <f>44499150.89</f>
        <v>44499150.89</v>
      </c>
      <c r="D27" s="316">
        <f>42487749.13</f>
        <v>42487749.13</v>
      </c>
      <c r="E27" s="316">
        <f>42582032.96</f>
        <v>42582032.96</v>
      </c>
      <c r="F27" s="316" t="s">
        <v>546</v>
      </c>
      <c r="G27" s="316" t="s">
        <v>546</v>
      </c>
      <c r="H27" s="316" t="s">
        <v>546</v>
      </c>
      <c r="I27" s="316" t="s">
        <v>546</v>
      </c>
      <c r="J27" s="316" t="s">
        <v>546</v>
      </c>
      <c r="K27" s="317">
        <f t="shared" si="0"/>
        <v>0.07453581911940894</v>
      </c>
      <c r="L27" s="317">
        <f t="shared" si="1"/>
        <v>95.47990979654399</v>
      </c>
      <c r="M27" s="319"/>
    </row>
    <row r="28" spans="2:13" ht="13.5" customHeight="1">
      <c r="B28" s="320" t="s">
        <v>548</v>
      </c>
      <c r="C28" s="316">
        <f>23290584.35</f>
        <v>23290584.35</v>
      </c>
      <c r="D28" s="316">
        <f>21599231.93</f>
        <v>21599231.93</v>
      </c>
      <c r="E28" s="316">
        <f>21599231.93</f>
        <v>21599231.93</v>
      </c>
      <c r="F28" s="316" t="s">
        <v>546</v>
      </c>
      <c r="G28" s="316" t="s">
        <v>546</v>
      </c>
      <c r="H28" s="316" t="s">
        <v>546</v>
      </c>
      <c r="I28" s="316" t="s">
        <v>546</v>
      </c>
      <c r="J28" s="316" t="s">
        <v>546</v>
      </c>
      <c r="K28" s="317">
        <f t="shared" si="0"/>
        <v>0.03789130931193299</v>
      </c>
      <c r="L28" s="317">
        <f t="shared" si="1"/>
        <v>92.73804214362701</v>
      </c>
      <c r="M28" s="319"/>
    </row>
    <row r="29" spans="2:13" ht="33" customHeight="1">
      <c r="B29" s="315" t="s">
        <v>551</v>
      </c>
      <c r="C29" s="316">
        <f>304273518.22</f>
        <v>304273518.22</v>
      </c>
      <c r="D29" s="316">
        <f>285238660.34</f>
        <v>285238660.34</v>
      </c>
      <c r="E29" s="316">
        <f>284462958.58</f>
        <v>284462958.58</v>
      </c>
      <c r="F29" s="316" t="s">
        <v>546</v>
      </c>
      <c r="G29" s="316" t="s">
        <v>546</v>
      </c>
      <c r="H29" s="316" t="s">
        <v>546</v>
      </c>
      <c r="I29" s="316" t="s">
        <v>546</v>
      </c>
      <c r="J29" s="316" t="s">
        <v>546</v>
      </c>
      <c r="K29" s="314">
        <f t="shared" si="0"/>
        <v>0.5003912334332868</v>
      </c>
      <c r="L29" s="317">
        <f t="shared" si="1"/>
        <v>93.74416216325562</v>
      </c>
      <c r="M29" s="319"/>
    </row>
    <row r="30" spans="2:13" ht="13.5" customHeight="1">
      <c r="B30" s="320" t="s">
        <v>548</v>
      </c>
      <c r="C30" s="316">
        <f>140370723.9</f>
        <v>140370723.9</v>
      </c>
      <c r="D30" s="316">
        <f>127136750.68</f>
        <v>127136750.68</v>
      </c>
      <c r="E30" s="316">
        <f>127150902.78</f>
        <v>127150902.78</v>
      </c>
      <c r="F30" s="316" t="s">
        <v>546</v>
      </c>
      <c r="G30" s="316" t="s">
        <v>546</v>
      </c>
      <c r="H30" s="316" t="s">
        <v>546</v>
      </c>
      <c r="I30" s="316" t="s">
        <v>546</v>
      </c>
      <c r="J30" s="316" t="s">
        <v>546</v>
      </c>
      <c r="K30" s="317">
        <f t="shared" si="0"/>
        <v>0.2230346875547434</v>
      </c>
      <c r="L30" s="317">
        <f t="shared" si="1"/>
        <v>90.57212725537565</v>
      </c>
      <c r="M30" s="319"/>
    </row>
    <row r="31" spans="2:13" ht="22.5" customHeight="1">
      <c r="B31" s="315" t="s">
        <v>552</v>
      </c>
      <c r="C31" s="316">
        <f>318774340.4</f>
        <v>318774340.4</v>
      </c>
      <c r="D31" s="316">
        <f>292819031.07</f>
        <v>292819031.07</v>
      </c>
      <c r="E31" s="316">
        <f>292207038.43</f>
        <v>292207038.43</v>
      </c>
      <c r="F31" s="316" t="s">
        <v>546</v>
      </c>
      <c r="G31" s="316" t="s">
        <v>546</v>
      </c>
      <c r="H31" s="316" t="s">
        <v>546</v>
      </c>
      <c r="I31" s="316" t="s">
        <v>546</v>
      </c>
      <c r="J31" s="316" t="s">
        <v>546</v>
      </c>
      <c r="K31" s="317">
        <f t="shared" si="0"/>
        <v>0.5136893994495798</v>
      </c>
      <c r="L31" s="317">
        <f t="shared" si="1"/>
        <v>91.85777961380734</v>
      </c>
      <c r="M31" s="319"/>
    </row>
    <row r="32" spans="2:13" ht="13.5" customHeight="1">
      <c r="B32" s="320" t="s">
        <v>548</v>
      </c>
      <c r="C32" s="316">
        <f>248387335.74</f>
        <v>248387335.74</v>
      </c>
      <c r="D32" s="316">
        <f>226103377.97</f>
        <v>226103377.97</v>
      </c>
      <c r="E32" s="316">
        <f>225677993.97</f>
        <v>225677993.97</v>
      </c>
      <c r="F32" s="316" t="s">
        <v>546</v>
      </c>
      <c r="G32" s="316" t="s">
        <v>546</v>
      </c>
      <c r="H32" s="316" t="s">
        <v>546</v>
      </c>
      <c r="I32" s="316" t="s">
        <v>546</v>
      </c>
      <c r="J32" s="316" t="s">
        <v>546</v>
      </c>
      <c r="K32" s="317">
        <f t="shared" si="0"/>
        <v>0.3966508188300271</v>
      </c>
      <c r="L32" s="317">
        <f t="shared" si="1"/>
        <v>91.02854511337655</v>
      </c>
      <c r="M32" s="319"/>
    </row>
    <row r="33" spans="2:13" ht="25.5" customHeight="1">
      <c r="B33" s="312" t="s">
        <v>553</v>
      </c>
      <c r="C33" s="313">
        <f>C34+C35+C36+C37+C38</f>
        <v>17860683772</v>
      </c>
      <c r="D33" s="313">
        <f>D34+D35+D36+D37+D38</f>
        <v>17865571880</v>
      </c>
      <c r="E33" s="313">
        <f>E34+E35+E36+E37+E38</f>
        <v>17887720308.9</v>
      </c>
      <c r="F33" s="316" t="s">
        <v>546</v>
      </c>
      <c r="G33" s="316" t="s">
        <v>546</v>
      </c>
      <c r="H33" s="316" t="s">
        <v>546</v>
      </c>
      <c r="I33" s="316" t="s">
        <v>546</v>
      </c>
      <c r="J33" s="316" t="s">
        <v>546</v>
      </c>
      <c r="K33" s="314">
        <f t="shared" si="0"/>
        <v>31.34138807961086</v>
      </c>
      <c r="L33" s="314">
        <f t="shared" si="1"/>
        <v>100.02736797796993</v>
      </c>
      <c r="M33" s="319"/>
    </row>
    <row r="34" spans="2:13" ht="13.5" customHeight="1">
      <c r="B34" s="315" t="s">
        <v>554</v>
      </c>
      <c r="C34" s="316">
        <f>4297971544</f>
        <v>4297971544</v>
      </c>
      <c r="D34" s="316">
        <f>4302411557</f>
        <v>4302411557</v>
      </c>
      <c r="E34" s="316">
        <f>4295137728</f>
        <v>4295137728</v>
      </c>
      <c r="F34" s="316" t="s">
        <v>546</v>
      </c>
      <c r="G34" s="316" t="s">
        <v>546</v>
      </c>
      <c r="H34" s="316" t="s">
        <v>546</v>
      </c>
      <c r="I34" s="316" t="s">
        <v>546</v>
      </c>
      <c r="J34" s="316" t="s">
        <v>546</v>
      </c>
      <c r="K34" s="317">
        <f t="shared" si="0"/>
        <v>7.547676122088951</v>
      </c>
      <c r="L34" s="317">
        <f t="shared" si="1"/>
        <v>100.10330484868375</v>
      </c>
      <c r="M34" s="319"/>
    </row>
    <row r="35" spans="2:13" ht="13.5" customHeight="1">
      <c r="B35" s="315" t="s">
        <v>555</v>
      </c>
      <c r="C35" s="316">
        <f>13192557847</f>
        <v>13192557847</v>
      </c>
      <c r="D35" s="316">
        <f>13192681141</f>
        <v>13192681141</v>
      </c>
      <c r="E35" s="316">
        <f>13222111679.9</f>
        <v>13222111679.9</v>
      </c>
      <c r="F35" s="316" t="s">
        <v>546</v>
      </c>
      <c r="G35" s="316" t="s">
        <v>546</v>
      </c>
      <c r="H35" s="316" t="s">
        <v>546</v>
      </c>
      <c r="I35" s="316" t="s">
        <v>546</v>
      </c>
      <c r="J35" s="316" t="s">
        <v>546</v>
      </c>
      <c r="K35" s="317">
        <f t="shared" si="0"/>
        <v>23.143784158038628</v>
      </c>
      <c r="L35" s="317">
        <f t="shared" si="1"/>
        <v>100.00093457236595</v>
      </c>
      <c r="M35" s="319"/>
    </row>
    <row r="36" spans="2:13" ht="13.5" customHeight="1">
      <c r="B36" s="315" t="s">
        <v>556</v>
      </c>
      <c r="C36" s="316">
        <f>5627932</f>
        <v>5627932</v>
      </c>
      <c r="D36" s="316">
        <f>5627932</f>
        <v>5627932</v>
      </c>
      <c r="E36" s="316">
        <f>5627932</f>
        <v>5627932</v>
      </c>
      <c r="F36" s="316" t="s">
        <v>546</v>
      </c>
      <c r="G36" s="316" t="s">
        <v>546</v>
      </c>
      <c r="H36" s="316" t="s">
        <v>546</v>
      </c>
      <c r="I36" s="316" t="s">
        <v>546</v>
      </c>
      <c r="J36" s="316" t="s">
        <v>546</v>
      </c>
      <c r="K36" s="317">
        <f t="shared" si="0"/>
        <v>0.009873022933854189</v>
      </c>
      <c r="L36" s="317">
        <f t="shared" si="1"/>
        <v>100</v>
      </c>
      <c r="M36" s="319"/>
    </row>
    <row r="37" spans="2:13" ht="13.5" customHeight="1">
      <c r="B37" s="315" t="s">
        <v>557</v>
      </c>
      <c r="C37" s="316">
        <f>320916934</f>
        <v>320916934</v>
      </c>
      <c r="D37" s="316">
        <f>320866701</f>
        <v>320866701</v>
      </c>
      <c r="E37" s="316">
        <f>320863616</f>
        <v>320863616</v>
      </c>
      <c r="F37" s="316" t="s">
        <v>546</v>
      </c>
      <c r="G37" s="316" t="s">
        <v>546</v>
      </c>
      <c r="H37" s="316" t="s">
        <v>546</v>
      </c>
      <c r="I37" s="316" t="s">
        <v>546</v>
      </c>
      <c r="J37" s="316" t="s">
        <v>546</v>
      </c>
      <c r="K37" s="317">
        <f t="shared" si="0"/>
        <v>0.5628931368899153</v>
      </c>
      <c r="L37" s="317">
        <f t="shared" si="1"/>
        <v>99.98434703978569</v>
      </c>
      <c r="M37" s="319"/>
    </row>
    <row r="38" spans="2:13" ht="15.75" customHeight="1">
      <c r="B38" s="315" t="s">
        <v>559</v>
      </c>
      <c r="C38" s="316">
        <f>43609515</f>
        <v>43609515</v>
      </c>
      <c r="D38" s="316">
        <f>43984549</f>
        <v>43984549</v>
      </c>
      <c r="E38" s="316">
        <f>43979353</f>
        <v>43979353</v>
      </c>
      <c r="F38" s="316" t="s">
        <v>546</v>
      </c>
      <c r="G38" s="316" t="s">
        <v>546</v>
      </c>
      <c r="H38" s="316" t="s">
        <v>546</v>
      </c>
      <c r="I38" s="316" t="s">
        <v>546</v>
      </c>
      <c r="J38" s="316" t="s">
        <v>546</v>
      </c>
      <c r="K38" s="317">
        <f t="shared" si="0"/>
        <v>0.07716163965951141</v>
      </c>
      <c r="L38" s="317">
        <f t="shared" si="1"/>
        <v>100.85998204749583</v>
      </c>
      <c r="M38" s="319"/>
    </row>
    <row r="39" spans="1:13" ht="13.5" customHeight="1">
      <c r="A39" s="323"/>
      <c r="B39" s="324"/>
      <c r="C39" s="325"/>
      <c r="D39" s="326"/>
      <c r="E39" s="326"/>
      <c r="F39" s="327"/>
      <c r="G39" s="327"/>
      <c r="H39" s="327"/>
      <c r="I39" s="327"/>
      <c r="J39" s="327"/>
      <c r="K39" s="328"/>
      <c r="L39" s="328"/>
      <c r="M39" s="329"/>
    </row>
    <row r="40" spans="2:27" ht="29.25" customHeight="1">
      <c r="B40" s="419" t="s">
        <v>525</v>
      </c>
      <c r="C40" s="406" t="s">
        <v>618</v>
      </c>
      <c r="D40" s="406" t="s">
        <v>619</v>
      </c>
      <c r="E40" s="406" t="s">
        <v>620</v>
      </c>
      <c r="F40" s="406" t="s">
        <v>560</v>
      </c>
      <c r="G40" s="406"/>
      <c r="H40" s="406"/>
      <c r="I40" s="406" t="s">
        <v>621</v>
      </c>
      <c r="J40" s="406"/>
      <c r="K40" s="406" t="s">
        <v>526</v>
      </c>
      <c r="L40" s="416" t="s">
        <v>561</v>
      </c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</row>
    <row r="41" spans="2:27" ht="18" customHeight="1">
      <c r="B41" s="419"/>
      <c r="C41" s="406"/>
      <c r="D41" s="412"/>
      <c r="E41" s="406"/>
      <c r="F41" s="417" t="s">
        <v>622</v>
      </c>
      <c r="G41" s="418" t="s">
        <v>562</v>
      </c>
      <c r="H41" s="412"/>
      <c r="I41" s="406"/>
      <c r="J41" s="406"/>
      <c r="K41" s="406"/>
      <c r="L41" s="416"/>
      <c r="M41" s="331"/>
      <c r="N41" s="332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</row>
    <row r="42" spans="2:27" ht="36" customHeight="1">
      <c r="B42" s="419"/>
      <c r="C42" s="406"/>
      <c r="D42" s="412"/>
      <c r="E42" s="406"/>
      <c r="F42" s="412"/>
      <c r="G42" s="309" t="s">
        <v>623</v>
      </c>
      <c r="H42" s="309" t="s">
        <v>624</v>
      </c>
      <c r="I42" s="406"/>
      <c r="J42" s="406"/>
      <c r="K42" s="406"/>
      <c r="L42" s="416"/>
      <c r="M42" s="331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</row>
    <row r="43" spans="2:27" ht="13.5" customHeight="1">
      <c r="B43" s="419"/>
      <c r="C43" s="415"/>
      <c r="D43" s="415"/>
      <c r="E43" s="415"/>
      <c r="F43" s="415"/>
      <c r="G43" s="415"/>
      <c r="H43" s="415"/>
      <c r="I43" s="415"/>
      <c r="J43" s="415"/>
      <c r="K43" s="415" t="s">
        <v>12</v>
      </c>
      <c r="L43" s="415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</row>
    <row r="44" spans="2:27" ht="11.25" customHeight="1">
      <c r="B44" s="308">
        <v>1</v>
      </c>
      <c r="C44" s="310">
        <v>2</v>
      </c>
      <c r="D44" s="310">
        <v>3</v>
      </c>
      <c r="E44" s="310">
        <v>4</v>
      </c>
      <c r="F44" s="308">
        <v>5</v>
      </c>
      <c r="G44" s="308">
        <v>6</v>
      </c>
      <c r="H44" s="310">
        <v>7</v>
      </c>
      <c r="I44" s="412">
        <v>8</v>
      </c>
      <c r="J44" s="412"/>
      <c r="K44" s="308">
        <v>9</v>
      </c>
      <c r="L44" s="310">
        <v>10</v>
      </c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</row>
    <row r="45" spans="2:12" ht="25.5" customHeight="1">
      <c r="B45" s="312" t="s">
        <v>563</v>
      </c>
      <c r="C45" s="306">
        <f>60249678302.04</f>
        <v>60249678302.04</v>
      </c>
      <c r="D45" s="306">
        <f>56240045905.58</f>
        <v>56240045905.58</v>
      </c>
      <c r="E45" s="306">
        <f>56074123524.52</f>
        <v>56074123524.52</v>
      </c>
      <c r="F45" s="306">
        <f>2213766274.88</f>
        <v>2213766274.88</v>
      </c>
      <c r="G45" s="306">
        <f>10238706.11</f>
        <v>10238706.11</v>
      </c>
      <c r="H45" s="306">
        <f>44670582.44</f>
        <v>44670582.44</v>
      </c>
      <c r="I45" s="408">
        <f>862908135.11</f>
        <v>862908135.11</v>
      </c>
      <c r="J45" s="408"/>
      <c r="K45" s="333">
        <f aca="true" t="shared" si="4" ref="K45:K55">IF($E$45=0,"",100*$E45/$E$45)</f>
        <v>100</v>
      </c>
      <c r="L45" s="333">
        <f aca="true" t="shared" si="5" ref="L45:L55">IF(C45=0,"",100*E45/C45)</f>
        <v>93.0695816223493</v>
      </c>
    </row>
    <row r="46" spans="2:12" ht="24" customHeight="1">
      <c r="B46" s="312" t="s">
        <v>564</v>
      </c>
      <c r="C46" s="307">
        <f>12513423821.89</f>
        <v>12513423821.89</v>
      </c>
      <c r="D46" s="307">
        <f>10619484133.97</f>
        <v>10619484133.97</v>
      </c>
      <c r="E46" s="307">
        <f>10565993362.94</f>
        <v>10565993362.94</v>
      </c>
      <c r="F46" s="307">
        <f>356016234.55</f>
        <v>356016234.55</v>
      </c>
      <c r="G46" s="307">
        <f>5109130.61</f>
        <v>5109130.61</v>
      </c>
      <c r="H46" s="307">
        <f>10239145.92</f>
        <v>10239145.92</v>
      </c>
      <c r="I46" s="410">
        <f>762431311.86</f>
        <v>762431311.86</v>
      </c>
      <c r="J46" s="410"/>
      <c r="K46" s="333">
        <f t="shared" si="4"/>
        <v>18.842904175434363</v>
      </c>
      <c r="L46" s="333">
        <f t="shared" si="5"/>
        <v>84.43726923447348</v>
      </c>
    </row>
    <row r="47" spans="2:12" ht="18" customHeight="1">
      <c r="B47" s="315" t="s">
        <v>565</v>
      </c>
      <c r="C47" s="316">
        <f>12304754972.55</f>
        <v>12304754972.55</v>
      </c>
      <c r="D47" s="316">
        <f>10416335556.38</f>
        <v>10416335556.38</v>
      </c>
      <c r="E47" s="316">
        <f>10362848635.35</f>
        <v>10362848635.35</v>
      </c>
      <c r="F47" s="316">
        <f>355976284.55</f>
        <v>355976284.55</v>
      </c>
      <c r="G47" s="316">
        <f>5105380.61</f>
        <v>5105380.61</v>
      </c>
      <c r="H47" s="316">
        <f>10239145.92</f>
        <v>10239145.92</v>
      </c>
      <c r="I47" s="409">
        <f>760062312.86</f>
        <v>760062312.86</v>
      </c>
      <c r="J47" s="409"/>
      <c r="K47" s="322">
        <f t="shared" si="4"/>
        <v>18.48062525813453</v>
      </c>
      <c r="L47" s="322">
        <f t="shared" si="5"/>
        <v>84.21824456048014</v>
      </c>
    </row>
    <row r="48" spans="2:12" ht="25.5" customHeight="1">
      <c r="B48" s="312" t="s">
        <v>566</v>
      </c>
      <c r="C48" s="307">
        <f aca="true" t="shared" si="6" ref="C48:I48">C45-C46</f>
        <v>47736254480.15</v>
      </c>
      <c r="D48" s="307">
        <f t="shared" si="6"/>
        <v>45620561771.61</v>
      </c>
      <c r="E48" s="307">
        <f t="shared" si="6"/>
        <v>45508130161.579994</v>
      </c>
      <c r="F48" s="307">
        <f t="shared" si="6"/>
        <v>1857750040.3300002</v>
      </c>
      <c r="G48" s="307">
        <f t="shared" si="6"/>
        <v>5129575.499999999</v>
      </c>
      <c r="H48" s="307">
        <f t="shared" si="6"/>
        <v>34431436.519999996</v>
      </c>
      <c r="I48" s="410">
        <f t="shared" si="6"/>
        <v>100476823.25</v>
      </c>
      <c r="J48" s="410"/>
      <c r="K48" s="333">
        <f t="shared" si="4"/>
        <v>81.15709582456563</v>
      </c>
      <c r="L48" s="333">
        <f t="shared" si="5"/>
        <v>95.33242743312313</v>
      </c>
    </row>
    <row r="49" spans="2:12" ht="15.75" customHeight="1">
      <c r="B49" s="315" t="s">
        <v>567</v>
      </c>
      <c r="C49" s="316">
        <f>17454870543.28</f>
        <v>17454870543.28</v>
      </c>
      <c r="D49" s="316">
        <f>17165720596.42</f>
        <v>17165720596.42</v>
      </c>
      <c r="E49" s="316">
        <f>17107934464.43</f>
        <v>17107934464.43</v>
      </c>
      <c r="F49" s="316">
        <f>1268187724.22</f>
        <v>1268187724.22</v>
      </c>
      <c r="G49" s="316">
        <f>129594.9</f>
        <v>129594.9</v>
      </c>
      <c r="H49" s="316">
        <f>5344684.96</f>
        <v>5344684.96</v>
      </c>
      <c r="I49" s="409">
        <f>3350626.7</f>
        <v>3350626.7</v>
      </c>
      <c r="J49" s="409"/>
      <c r="K49" s="322">
        <f t="shared" si="4"/>
        <v>30.509499550089394</v>
      </c>
      <c r="L49" s="322">
        <f t="shared" si="5"/>
        <v>98.0123824007187</v>
      </c>
    </row>
    <row r="50" spans="2:12" ht="22.5" customHeight="1">
      <c r="B50" s="320" t="s">
        <v>568</v>
      </c>
      <c r="C50" s="334">
        <f>15780989903.5</f>
        <v>15780989903.5</v>
      </c>
      <c r="D50" s="334">
        <f>15526825480.03</f>
        <v>15526825480.03</v>
      </c>
      <c r="E50" s="334">
        <f>15499509305.95</f>
        <v>15499509305.95</v>
      </c>
      <c r="F50" s="334">
        <f>157542773.24</f>
        <v>157542773.24</v>
      </c>
      <c r="G50" s="334">
        <f>111875.52</f>
        <v>111875.52</v>
      </c>
      <c r="H50" s="334">
        <f>3717416.05</f>
        <v>3717416.05</v>
      </c>
      <c r="I50" s="414">
        <f>413849.51</f>
        <v>413849.51</v>
      </c>
      <c r="J50" s="414"/>
      <c r="K50" s="322">
        <f t="shared" si="4"/>
        <v>27.64110846810187</v>
      </c>
      <c r="L50" s="322">
        <f t="shared" si="5"/>
        <v>98.2163311726879</v>
      </c>
    </row>
    <row r="51" spans="2:12" ht="13.5" customHeight="1">
      <c r="B51" s="315" t="s">
        <v>569</v>
      </c>
      <c r="C51" s="316">
        <f>3498020039.3</f>
        <v>3498020039.3</v>
      </c>
      <c r="D51" s="316">
        <f>3389699232.39</f>
        <v>3389699232.39</v>
      </c>
      <c r="E51" s="316">
        <f>3365762638.29</f>
        <v>3365762638.29</v>
      </c>
      <c r="F51" s="316">
        <f>294404691.27</f>
        <v>294404691.27</v>
      </c>
      <c r="G51" s="316">
        <f>1068611.17</f>
        <v>1068611.17</v>
      </c>
      <c r="H51" s="316">
        <f>2885913.68</f>
        <v>2885913.68</v>
      </c>
      <c r="I51" s="409">
        <f>384999.83</f>
        <v>384999.83</v>
      </c>
      <c r="J51" s="409"/>
      <c r="K51" s="322">
        <f t="shared" si="4"/>
        <v>6.002345514715402</v>
      </c>
      <c r="L51" s="322">
        <f t="shared" si="5"/>
        <v>96.21907823499872</v>
      </c>
    </row>
    <row r="52" spans="2:12" ht="13.5" customHeight="1">
      <c r="B52" s="315" t="s">
        <v>570</v>
      </c>
      <c r="C52" s="334">
        <f>2922151705.71</f>
        <v>2922151705.71</v>
      </c>
      <c r="D52" s="334">
        <f>2872410100.93</f>
        <v>2872410100.93</v>
      </c>
      <c r="E52" s="334">
        <f>2871940221.69</f>
        <v>2871940221.69</v>
      </c>
      <c r="F52" s="334">
        <f>2010574.9</f>
        <v>2010574.9</v>
      </c>
      <c r="G52" s="334">
        <f>0</f>
        <v>0</v>
      </c>
      <c r="H52" s="334">
        <f>268442.62</f>
        <v>268442.62</v>
      </c>
      <c r="I52" s="414">
        <f>4096009.89</f>
        <v>4096009.89</v>
      </c>
      <c r="J52" s="414"/>
      <c r="K52" s="322">
        <f t="shared" si="4"/>
        <v>5.121685442723261</v>
      </c>
      <c r="L52" s="322">
        <f t="shared" si="5"/>
        <v>98.2816948236505</v>
      </c>
    </row>
    <row r="53" spans="2:12" ht="13.5" customHeight="1">
      <c r="B53" s="315" t="s">
        <v>571</v>
      </c>
      <c r="C53" s="316">
        <f>413435346.64</f>
        <v>413435346.64</v>
      </c>
      <c r="D53" s="316">
        <f>361958412.62</f>
        <v>361958412.62</v>
      </c>
      <c r="E53" s="316">
        <f>360766811.65</f>
        <v>360766811.65</v>
      </c>
      <c r="F53" s="316">
        <f>6136289.79</f>
        <v>6136289.79</v>
      </c>
      <c r="G53" s="316">
        <f>0</f>
        <v>0</v>
      </c>
      <c r="H53" s="316">
        <f>28198.97</f>
        <v>28198.97</v>
      </c>
      <c r="I53" s="409">
        <f>10000</f>
        <v>10000</v>
      </c>
      <c r="J53" s="409"/>
      <c r="K53" s="322">
        <f t="shared" si="4"/>
        <v>0.6433748563046991</v>
      </c>
      <c r="L53" s="322">
        <f t="shared" si="5"/>
        <v>87.26075662905009</v>
      </c>
    </row>
    <row r="54" spans="2:12" ht="22.5" customHeight="1">
      <c r="B54" s="315" t="s">
        <v>572</v>
      </c>
      <c r="C54" s="334">
        <f>41921226.58</f>
        <v>41921226.58</v>
      </c>
      <c r="D54" s="334">
        <f>8678161.87</f>
        <v>8678161.87</v>
      </c>
      <c r="E54" s="334">
        <f>7581355.23</f>
        <v>7581355.23</v>
      </c>
      <c r="F54" s="334">
        <f>438028.64</f>
        <v>438028.64</v>
      </c>
      <c r="G54" s="334">
        <f>0</f>
        <v>0</v>
      </c>
      <c r="H54" s="334">
        <f>438028.64</f>
        <v>438028.64</v>
      </c>
      <c r="I54" s="414">
        <f>550000</f>
        <v>550000</v>
      </c>
      <c r="J54" s="414"/>
      <c r="K54" s="322">
        <f t="shared" si="4"/>
        <v>0.013520238486982035</v>
      </c>
      <c r="L54" s="322">
        <f t="shared" si="5"/>
        <v>18.08476480413136</v>
      </c>
    </row>
    <row r="55" spans="2:12" ht="13.5" customHeight="1">
      <c r="B55" s="315" t="s">
        <v>573</v>
      </c>
      <c r="C55" s="316">
        <f aca="true" t="shared" si="7" ref="C55:I55">C48-C49-C51-C52-C53-C54</f>
        <v>23405855618.640003</v>
      </c>
      <c r="D55" s="316">
        <f t="shared" si="7"/>
        <v>21822095267.380005</v>
      </c>
      <c r="E55" s="316">
        <f t="shared" si="7"/>
        <v>21794144670.289993</v>
      </c>
      <c r="F55" s="316">
        <f t="shared" si="7"/>
        <v>286572731.51000017</v>
      </c>
      <c r="G55" s="316">
        <f t="shared" si="7"/>
        <v>3931369.429999999</v>
      </c>
      <c r="H55" s="316">
        <f t="shared" si="7"/>
        <v>25466167.649999995</v>
      </c>
      <c r="I55" s="462">
        <f t="shared" si="7"/>
        <v>92085186.83</v>
      </c>
      <c r="J55" s="463"/>
      <c r="K55" s="322">
        <f t="shared" si="4"/>
        <v>38.866670222245894</v>
      </c>
      <c r="L55" s="322">
        <f t="shared" si="5"/>
        <v>93.11406951059514</v>
      </c>
    </row>
    <row r="56" spans="2:13" ht="15.75" customHeight="1">
      <c r="B56" s="312" t="s">
        <v>574</v>
      </c>
      <c r="C56" s="307">
        <f>C6-C45</f>
        <v>-3708850473.050003</v>
      </c>
      <c r="D56" s="307"/>
      <c r="E56" s="307">
        <f>D6-E45</f>
        <v>929005483.7400055</v>
      </c>
      <c r="F56" s="307"/>
      <c r="G56" s="307"/>
      <c r="H56" s="307"/>
      <c r="I56" s="410"/>
      <c r="J56" s="410"/>
      <c r="K56" s="335"/>
      <c r="L56" s="335"/>
      <c r="M56" s="336"/>
    </row>
    <row r="57" spans="2:13" ht="12" customHeight="1">
      <c r="B57" s="337"/>
      <c r="C57" s="338"/>
      <c r="D57" s="338"/>
      <c r="E57" s="338"/>
      <c r="F57" s="329"/>
      <c r="G57" s="329"/>
      <c r="H57" s="329"/>
      <c r="I57" s="329"/>
      <c r="L57" s="330"/>
      <c r="M57" s="330"/>
    </row>
    <row r="59" spans="2:9" ht="18" customHeight="1">
      <c r="B59" s="411" t="s">
        <v>463</v>
      </c>
      <c r="C59" s="411"/>
      <c r="D59" s="412" t="s">
        <v>575</v>
      </c>
      <c r="E59" s="412"/>
      <c r="F59" s="412" t="s">
        <v>576</v>
      </c>
      <c r="G59" s="412"/>
      <c r="H59" s="310" t="s">
        <v>577</v>
      </c>
      <c r="I59" s="310" t="s">
        <v>578</v>
      </c>
    </row>
    <row r="60" spans="2:10" ht="13.5" customHeight="1">
      <c r="B60" s="411"/>
      <c r="C60" s="411"/>
      <c r="D60" s="406"/>
      <c r="E60" s="406"/>
      <c r="F60" s="406"/>
      <c r="G60" s="406"/>
      <c r="H60" s="413" t="s">
        <v>12</v>
      </c>
      <c r="I60" s="413"/>
      <c r="J60" s="339"/>
    </row>
    <row r="61" spans="2:10" ht="11.25" customHeight="1">
      <c r="B61" s="405">
        <v>1</v>
      </c>
      <c r="C61" s="406"/>
      <c r="D61" s="407">
        <v>2</v>
      </c>
      <c r="E61" s="407"/>
      <c r="F61" s="407">
        <v>3</v>
      </c>
      <c r="G61" s="407"/>
      <c r="H61" s="340">
        <v>4</v>
      </c>
      <c r="I61" s="340">
        <v>5</v>
      </c>
      <c r="J61" s="330"/>
    </row>
    <row r="62" spans="2:10" ht="25.5" customHeight="1">
      <c r="B62" s="402" t="s">
        <v>579</v>
      </c>
      <c r="C62" s="402"/>
      <c r="D62" s="408">
        <f>3753284898.99</f>
        <v>3753284898.99</v>
      </c>
      <c r="E62" s="408"/>
      <c r="F62" s="408">
        <f>3279541292.64</f>
        <v>3279541292.64</v>
      </c>
      <c r="G62" s="408"/>
      <c r="H62" s="333"/>
      <c r="I62" s="333"/>
      <c r="J62" s="341"/>
    </row>
    <row r="63" spans="2:9" ht="25.5" customHeight="1">
      <c r="B63" s="401" t="s">
        <v>580</v>
      </c>
      <c r="C63" s="402"/>
      <c r="D63" s="408">
        <f>7251143583.58</f>
        <v>7251143583.58</v>
      </c>
      <c r="E63" s="408"/>
      <c r="F63" s="408">
        <f>6728637810.62</f>
        <v>6728637810.62</v>
      </c>
      <c r="G63" s="408"/>
      <c r="H63" s="295">
        <f aca="true" t="shared" si="8" ref="H63:H75">IF($F$63=0,"",100*$F63/$F$63)</f>
        <v>100</v>
      </c>
      <c r="I63" s="333">
        <f aca="true" t="shared" si="9" ref="I63:I84">IF(D63=0,"",100*F63/D63)</f>
        <v>92.79416043914509</v>
      </c>
    </row>
    <row r="64" spans="2:9" ht="13.5" customHeight="1">
      <c r="B64" s="398" t="s">
        <v>581</v>
      </c>
      <c r="C64" s="398"/>
      <c r="D64" s="397">
        <f>4201402039.43</f>
        <v>4201402039.43</v>
      </c>
      <c r="E64" s="397"/>
      <c r="F64" s="397">
        <f>3082752735.33</f>
        <v>3082752735.33</v>
      </c>
      <c r="G64" s="397"/>
      <c r="H64" s="322">
        <f t="shared" si="8"/>
        <v>45.815406061304174</v>
      </c>
      <c r="I64" s="322">
        <f t="shared" si="9"/>
        <v>73.37438089472232</v>
      </c>
    </row>
    <row r="65" spans="2:9" ht="37.5" customHeight="1">
      <c r="B65" s="396" t="s">
        <v>666</v>
      </c>
      <c r="C65" s="396" t="s">
        <v>583</v>
      </c>
      <c r="D65" s="397">
        <f>695561975.6</f>
        <v>695561975.6</v>
      </c>
      <c r="E65" s="397"/>
      <c r="F65" s="397">
        <f>581520994.56</f>
        <v>581520994.56</v>
      </c>
      <c r="G65" s="397"/>
      <c r="H65" s="322">
        <f t="shared" si="8"/>
        <v>8.642477287782809</v>
      </c>
      <c r="I65" s="322">
        <f t="shared" si="9"/>
        <v>83.60448313155317</v>
      </c>
    </row>
    <row r="66" spans="2:9" ht="13.5" customHeight="1">
      <c r="B66" s="398" t="s">
        <v>584</v>
      </c>
      <c r="C66" s="398" t="s">
        <v>585</v>
      </c>
      <c r="D66" s="397">
        <f>10199783.75</f>
        <v>10199783.75</v>
      </c>
      <c r="E66" s="397"/>
      <c r="F66" s="397">
        <f>8027737.48</f>
        <v>8027737.48</v>
      </c>
      <c r="G66" s="397"/>
      <c r="H66" s="322">
        <f t="shared" si="8"/>
        <v>0.11930702329273236</v>
      </c>
      <c r="I66" s="322">
        <f t="shared" si="9"/>
        <v>78.70497725013043</v>
      </c>
    </row>
    <row r="67" spans="2:9" ht="13.5" customHeight="1">
      <c r="B67" s="398" t="s">
        <v>586</v>
      </c>
      <c r="C67" s="398" t="s">
        <v>587</v>
      </c>
      <c r="D67" s="397">
        <f>963910534.07</f>
        <v>963910534.07</v>
      </c>
      <c r="E67" s="397"/>
      <c r="F67" s="397">
        <f>1242648477.1</f>
        <v>1242648477.1</v>
      </c>
      <c r="G67" s="397"/>
      <c r="H67" s="322">
        <f t="shared" si="8"/>
        <v>18.46805418978998</v>
      </c>
      <c r="I67" s="322">
        <f t="shared" si="9"/>
        <v>128.91740811806062</v>
      </c>
    </row>
    <row r="68" spans="2:9" ht="13.5" customHeight="1">
      <c r="B68" s="396" t="s">
        <v>588</v>
      </c>
      <c r="C68" s="396" t="s">
        <v>589</v>
      </c>
      <c r="D68" s="397">
        <f>403056917.29</f>
        <v>403056917.29</v>
      </c>
      <c r="E68" s="397"/>
      <c r="F68" s="397">
        <f>128556479.09</f>
        <v>128556479.09</v>
      </c>
      <c r="G68" s="397"/>
      <c r="H68" s="322">
        <f t="shared" si="8"/>
        <v>1.9105869970753317</v>
      </c>
      <c r="I68" s="322">
        <f t="shared" si="9"/>
        <v>31.89536603275895</v>
      </c>
    </row>
    <row r="69" spans="2:9" ht="13.5" customHeight="1">
      <c r="B69" s="398" t="s">
        <v>590</v>
      </c>
      <c r="C69" s="398" t="s">
        <v>591</v>
      </c>
      <c r="D69" s="397">
        <f>40158122</f>
        <v>40158122</v>
      </c>
      <c r="E69" s="397"/>
      <c r="F69" s="397">
        <f>29759999.99</f>
        <v>29759999.99</v>
      </c>
      <c r="G69" s="397"/>
      <c r="H69" s="322">
        <f t="shared" si="8"/>
        <v>0.4422886299962371</v>
      </c>
      <c r="I69" s="322">
        <f t="shared" si="9"/>
        <v>74.10705109666235</v>
      </c>
    </row>
    <row r="70" spans="2:9" ht="38.25" customHeight="1">
      <c r="B70" s="396" t="s">
        <v>666</v>
      </c>
      <c r="C70" s="396" t="s">
        <v>583</v>
      </c>
      <c r="D70" s="397">
        <f>820000</f>
        <v>820000</v>
      </c>
      <c r="E70" s="397"/>
      <c r="F70" s="397">
        <f>820000</f>
        <v>820000</v>
      </c>
      <c r="G70" s="397"/>
      <c r="H70" s="322">
        <f t="shared" si="8"/>
        <v>0.012186716287593467</v>
      </c>
      <c r="I70" s="322">
        <f t="shared" si="9"/>
        <v>100</v>
      </c>
    </row>
    <row r="71" spans="2:9" ht="22.5" customHeight="1">
      <c r="B71" s="398" t="s">
        <v>592</v>
      </c>
      <c r="C71" s="398" t="s">
        <v>593</v>
      </c>
      <c r="D71" s="397">
        <f>313514738</f>
        <v>313514738</v>
      </c>
      <c r="E71" s="397"/>
      <c r="F71" s="397">
        <f>274255000</f>
        <v>274255000</v>
      </c>
      <c r="G71" s="397"/>
      <c r="H71" s="322">
        <f t="shared" si="8"/>
        <v>4.075936433480423</v>
      </c>
      <c r="I71" s="322">
        <f t="shared" si="9"/>
        <v>87.47754627088695</v>
      </c>
    </row>
    <row r="72" spans="2:9" ht="39" customHeight="1">
      <c r="B72" s="396" t="s">
        <v>666</v>
      </c>
      <c r="C72" s="396" t="s">
        <v>583</v>
      </c>
      <c r="D72" s="397">
        <f>30492233</f>
        <v>30492233</v>
      </c>
      <c r="E72" s="397"/>
      <c r="F72" s="397">
        <f>27604290.06</f>
        <v>27604290.06</v>
      </c>
      <c r="G72" s="397"/>
      <c r="H72" s="322">
        <f t="shared" si="8"/>
        <v>0.4102507942459225</v>
      </c>
      <c r="I72" s="322">
        <f t="shared" si="9"/>
        <v>90.5289227587891</v>
      </c>
    </row>
    <row r="73" spans="2:9" ht="13.5" customHeight="1">
      <c r="B73" s="398" t="s">
        <v>594</v>
      </c>
      <c r="C73" s="398" t="s">
        <v>595</v>
      </c>
      <c r="D73" s="397">
        <f>11744193</f>
        <v>11744193</v>
      </c>
      <c r="E73" s="397"/>
      <c r="F73" s="397">
        <f>5888728.72</f>
        <v>5888728.72</v>
      </c>
      <c r="G73" s="397"/>
      <c r="H73" s="322">
        <f t="shared" si="8"/>
        <v>0.08751739781127248</v>
      </c>
      <c r="I73" s="322">
        <f t="shared" si="9"/>
        <v>50.141620799317586</v>
      </c>
    </row>
    <row r="74" spans="2:9" ht="13.5" customHeight="1">
      <c r="B74" s="398" t="s">
        <v>596</v>
      </c>
      <c r="C74" s="398" t="s">
        <v>597</v>
      </c>
      <c r="D74" s="397">
        <f>1710214173.33</f>
        <v>1710214173.33</v>
      </c>
      <c r="E74" s="397"/>
      <c r="F74" s="397">
        <f>2085305132</f>
        <v>2085305132</v>
      </c>
      <c r="G74" s="397"/>
      <c r="H74" s="322">
        <f t="shared" si="8"/>
        <v>30.991490264325176</v>
      </c>
      <c r="I74" s="322">
        <f t="shared" si="9"/>
        <v>121.93239680265609</v>
      </c>
    </row>
    <row r="75" spans="2:9" ht="13.5" customHeight="1">
      <c r="B75" s="396" t="s">
        <v>588</v>
      </c>
      <c r="C75" s="396" t="s">
        <v>589</v>
      </c>
      <c r="D75" s="397">
        <f>1031003173.91</f>
        <v>1031003173.91</v>
      </c>
      <c r="E75" s="397"/>
      <c r="F75" s="397">
        <f>349218256.27</f>
        <v>349218256.27</v>
      </c>
      <c r="G75" s="397"/>
      <c r="H75" s="322">
        <f t="shared" si="8"/>
        <v>5.19002903854951</v>
      </c>
      <c r="I75" s="322">
        <f t="shared" si="9"/>
        <v>33.87169555895902</v>
      </c>
    </row>
    <row r="76" spans="2:9" ht="25.5" customHeight="1">
      <c r="B76" s="401" t="s">
        <v>598</v>
      </c>
      <c r="C76" s="402" t="s">
        <v>599</v>
      </c>
      <c r="D76" s="408">
        <f>3497858684.59</f>
        <v>3497858684.59</v>
      </c>
      <c r="E76" s="408"/>
      <c r="F76" s="408">
        <f>3449096517.98</f>
        <v>3449096517.98</v>
      </c>
      <c r="G76" s="408"/>
      <c r="H76" s="295">
        <f aca="true" t="shared" si="10" ref="H76:H84">IF($F$76=0,"",100*$F76/$F$76)</f>
        <v>100</v>
      </c>
      <c r="I76" s="333">
        <f t="shared" si="9"/>
        <v>98.60594234910563</v>
      </c>
    </row>
    <row r="77" spans="2:9" ht="13.5" customHeight="1">
      <c r="B77" s="398" t="s">
        <v>600</v>
      </c>
      <c r="C77" s="398" t="s">
        <v>601</v>
      </c>
      <c r="D77" s="397">
        <f>2751624345.73</f>
        <v>2751624345.73</v>
      </c>
      <c r="E77" s="397"/>
      <c r="F77" s="397">
        <f>2670339869.12</f>
        <v>2670339869.12</v>
      </c>
      <c r="G77" s="397"/>
      <c r="H77" s="322">
        <f t="shared" si="10"/>
        <v>77.42143066161317</v>
      </c>
      <c r="I77" s="322">
        <f t="shared" si="9"/>
        <v>97.04594572525359</v>
      </c>
    </row>
    <row r="78" spans="2:9" ht="37.5" customHeight="1">
      <c r="B78" s="396" t="s">
        <v>666</v>
      </c>
      <c r="C78" s="396" t="s">
        <v>583</v>
      </c>
      <c r="D78" s="397">
        <f>737009292.15</f>
        <v>737009292.15</v>
      </c>
      <c r="E78" s="397"/>
      <c r="F78" s="397">
        <f>680539176.78</f>
        <v>680539176.78</v>
      </c>
      <c r="G78" s="397"/>
      <c r="H78" s="322">
        <f t="shared" si="10"/>
        <v>19.730940355898333</v>
      </c>
      <c r="I78" s="322">
        <f t="shared" si="9"/>
        <v>92.3379371235245</v>
      </c>
    </row>
    <row r="79" spans="2:9" ht="13.5" customHeight="1">
      <c r="B79" s="398" t="s">
        <v>602</v>
      </c>
      <c r="C79" s="398" t="s">
        <v>603</v>
      </c>
      <c r="D79" s="397">
        <f>24210761.08</f>
        <v>24210761.08</v>
      </c>
      <c r="E79" s="397"/>
      <c r="F79" s="397">
        <f>23150321.97</f>
        <v>23150321.97</v>
      </c>
      <c r="G79" s="397"/>
      <c r="H79" s="322">
        <f t="shared" si="10"/>
        <v>0.6711995981938549</v>
      </c>
      <c r="I79" s="322">
        <f t="shared" si="9"/>
        <v>95.61996788743662</v>
      </c>
    </row>
    <row r="80" spans="2:9" ht="13.5" customHeight="1">
      <c r="B80" s="398" t="s">
        <v>604</v>
      </c>
      <c r="C80" s="398" t="s">
        <v>605</v>
      </c>
      <c r="D80" s="397">
        <f>8150000</f>
        <v>8150000</v>
      </c>
      <c r="E80" s="397"/>
      <c r="F80" s="397">
        <f>9150000</f>
        <v>9150000</v>
      </c>
      <c r="G80" s="397"/>
      <c r="H80" s="322">
        <f t="shared" si="10"/>
        <v>0.2652868643223355</v>
      </c>
      <c r="I80" s="322">
        <f t="shared" si="9"/>
        <v>112.26993865030674</v>
      </c>
    </row>
    <row r="81" spans="2:9" ht="36" customHeight="1">
      <c r="B81" s="396" t="s">
        <v>666</v>
      </c>
      <c r="C81" s="396" t="s">
        <v>583</v>
      </c>
      <c r="D81" s="397">
        <f>0</f>
        <v>0</v>
      </c>
      <c r="E81" s="397"/>
      <c r="F81" s="397">
        <f>0</f>
        <v>0</v>
      </c>
      <c r="G81" s="397"/>
      <c r="H81" s="322">
        <f t="shared" si="10"/>
        <v>0</v>
      </c>
      <c r="I81" s="322">
        <f t="shared" si="9"/>
      </c>
    </row>
    <row r="82" spans="2:9" ht="13.5" customHeight="1">
      <c r="B82" s="398" t="s">
        <v>606</v>
      </c>
      <c r="C82" s="398" t="s">
        <v>607</v>
      </c>
      <c r="D82" s="397">
        <f>150041300</f>
        <v>150041300</v>
      </c>
      <c r="E82" s="397"/>
      <c r="F82" s="397">
        <f>149992100</f>
        <v>149992100</v>
      </c>
      <c r="G82" s="397"/>
      <c r="H82" s="322">
        <f t="shared" si="10"/>
        <v>4.348735943401331</v>
      </c>
      <c r="I82" s="322">
        <f t="shared" si="9"/>
        <v>99.9672090284475</v>
      </c>
    </row>
    <row r="83" spans="2:9" ht="38.25" customHeight="1">
      <c r="B83" s="396" t="s">
        <v>666</v>
      </c>
      <c r="C83" s="396" t="s">
        <v>583</v>
      </c>
      <c r="D83" s="397">
        <f>935000</f>
        <v>935000</v>
      </c>
      <c r="E83" s="397"/>
      <c r="F83" s="397">
        <f>935000</f>
        <v>935000</v>
      </c>
      <c r="G83" s="397"/>
      <c r="H83" s="322">
        <f t="shared" si="10"/>
        <v>0.027108548430752315</v>
      </c>
      <c r="I83" s="322">
        <f t="shared" si="9"/>
        <v>100</v>
      </c>
    </row>
    <row r="84" spans="2:9" ht="13.5" customHeight="1">
      <c r="B84" s="398" t="s">
        <v>608</v>
      </c>
      <c r="C84" s="398" t="s">
        <v>609</v>
      </c>
      <c r="D84" s="397">
        <f>563832277.78</f>
        <v>563832277.78</v>
      </c>
      <c r="E84" s="397"/>
      <c r="F84" s="397">
        <f>596464226.89</f>
        <v>596464226.89</v>
      </c>
      <c r="G84" s="397"/>
      <c r="H84" s="322">
        <f t="shared" si="10"/>
        <v>17.293346932469305</v>
      </c>
      <c r="I84" s="322">
        <f t="shared" si="9"/>
        <v>105.7875276737407</v>
      </c>
    </row>
  </sheetData>
  <mergeCells count="106"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I55:J55"/>
    <mergeCell ref="I56:J56"/>
    <mergeCell ref="B59:C60"/>
    <mergeCell ref="D59:E59"/>
    <mergeCell ref="F59:G59"/>
    <mergeCell ref="D60:G60"/>
    <mergeCell ref="H60:I60"/>
    <mergeCell ref="I51:J51"/>
    <mergeCell ref="I52:J52"/>
    <mergeCell ref="I53:J53"/>
    <mergeCell ref="I54:J54"/>
    <mergeCell ref="I47:J47"/>
    <mergeCell ref="I48:J48"/>
    <mergeCell ref="I49:J49"/>
    <mergeCell ref="I50:J50"/>
    <mergeCell ref="K43:L43"/>
    <mergeCell ref="I44:J44"/>
    <mergeCell ref="I45:J45"/>
    <mergeCell ref="I46:J46"/>
    <mergeCell ref="K40:K42"/>
    <mergeCell ref="L40:L42"/>
    <mergeCell ref="F41:F42"/>
    <mergeCell ref="G41:H41"/>
    <mergeCell ref="B40:B43"/>
    <mergeCell ref="C40:C42"/>
    <mergeCell ref="D40:D42"/>
    <mergeCell ref="E40:E42"/>
    <mergeCell ref="C43:J43"/>
    <mergeCell ref="F40:H40"/>
    <mergeCell ref="I40:J42"/>
    <mergeCell ref="B1:M1"/>
    <mergeCell ref="B3:B4"/>
    <mergeCell ref="C4:J4"/>
    <mergeCell ref="K4:M4"/>
  </mergeCells>
  <printOptions horizontalCentered="1"/>
  <pageMargins left="0.2362204724409449" right="0.15748031496062992" top="0.5118110236220472" bottom="0.5118110236220472" header="0.15748031496062992" footer="0.1968503937007874"/>
  <pageSetup horizontalDpi="1200" verticalDpi="1200" orientation="landscape" paperSize="9" scale="90" r:id="rId3"/>
  <headerFooter alignWithMargins="0">
    <oddFooter>&amp;RStrona &amp;P z 5</oddFooter>
  </headerFooter>
  <rowBreaks count="2" manualBreakCount="2">
    <brk id="28" max="255" man="1"/>
    <brk id="5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1" sqref="A1:M1"/>
    </sheetView>
  </sheetViews>
  <sheetFormatPr defaultColWidth="9.140625" defaultRowHeight="13.5" customHeight="1"/>
  <cols>
    <col min="1" max="1" width="20.8515625" style="296" customWidth="1"/>
    <col min="2" max="5" width="11.421875" style="296" customWidth="1"/>
    <col min="6" max="6" width="11.00390625" style="296" customWidth="1"/>
    <col min="7" max="7" width="11.421875" style="296" customWidth="1"/>
    <col min="8" max="8" width="9.421875" style="296" bestFit="1" customWidth="1"/>
    <col min="9" max="9" width="9.00390625" style="296" customWidth="1"/>
    <col min="10" max="10" width="11.140625" style="296" customWidth="1"/>
    <col min="11" max="11" width="9.421875" style="296" bestFit="1" customWidth="1"/>
    <col min="12" max="13" width="10.00390625" style="296" customWidth="1"/>
    <col min="14" max="16384" width="9.140625" style="296" customWidth="1"/>
  </cols>
  <sheetData>
    <row r="1" spans="1:13" ht="13.5" customHeight="1">
      <c r="A1" s="420" t="s">
        <v>667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3.5" customHeight="1">
      <c r="A3" s="426" t="s">
        <v>626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ht="6.75" customHeight="1"/>
    <row r="5" spans="1:13" ht="12.75" customHeight="1">
      <c r="A5" s="441" t="s">
        <v>463</v>
      </c>
      <c r="B5" s="436" t="s">
        <v>627</v>
      </c>
      <c r="C5" s="439" t="s">
        <v>628</v>
      </c>
      <c r="D5" s="439"/>
      <c r="E5" s="439"/>
      <c r="F5" s="439"/>
      <c r="G5" s="439"/>
      <c r="H5" s="439"/>
      <c r="I5" s="439"/>
      <c r="J5" s="439"/>
      <c r="K5" s="439"/>
      <c r="L5" s="439"/>
      <c r="M5" s="440"/>
    </row>
    <row r="6" spans="1:13" ht="12" customHeight="1">
      <c r="A6" s="442"/>
      <c r="B6" s="437"/>
      <c r="C6" s="444" t="s">
        <v>629</v>
      </c>
      <c r="D6" s="439"/>
      <c r="E6" s="439"/>
      <c r="F6" s="439"/>
      <c r="G6" s="439"/>
      <c r="H6" s="439"/>
      <c r="I6" s="439"/>
      <c r="J6" s="440"/>
      <c r="K6" s="444" t="s">
        <v>630</v>
      </c>
      <c r="L6" s="439"/>
      <c r="M6" s="440"/>
    </row>
    <row r="7" spans="1:13" ht="13.5" customHeight="1">
      <c r="A7" s="442"/>
      <c r="B7" s="437"/>
      <c r="C7" s="436" t="s">
        <v>465</v>
      </c>
      <c r="D7" s="439" t="s">
        <v>631</v>
      </c>
      <c r="E7" s="439"/>
      <c r="F7" s="439"/>
      <c r="G7" s="439"/>
      <c r="H7" s="439"/>
      <c r="I7" s="439"/>
      <c r="J7" s="440"/>
      <c r="K7" s="436" t="s">
        <v>465</v>
      </c>
      <c r="L7" s="439" t="s">
        <v>631</v>
      </c>
      <c r="M7" s="440"/>
    </row>
    <row r="8" spans="1:13" ht="13.5" customHeight="1">
      <c r="A8" s="442"/>
      <c r="B8" s="437"/>
      <c r="C8" s="437"/>
      <c r="D8" s="436" t="s">
        <v>632</v>
      </c>
      <c r="E8" s="440" t="s">
        <v>633</v>
      </c>
      <c r="F8" s="425"/>
      <c r="G8" s="425"/>
      <c r="H8" s="425"/>
      <c r="I8" s="421" t="s">
        <v>634</v>
      </c>
      <c r="J8" s="421" t="s">
        <v>635</v>
      </c>
      <c r="K8" s="437"/>
      <c r="L8" s="421" t="s">
        <v>636</v>
      </c>
      <c r="M8" s="421" t="s">
        <v>637</v>
      </c>
    </row>
    <row r="9" spans="1:13" ht="13.5" customHeight="1">
      <c r="A9" s="442"/>
      <c r="B9" s="437"/>
      <c r="C9" s="437"/>
      <c r="D9" s="437"/>
      <c r="E9" s="436" t="s">
        <v>638</v>
      </c>
      <c r="F9" s="298" t="s">
        <v>631</v>
      </c>
      <c r="G9" s="421" t="s">
        <v>639</v>
      </c>
      <c r="H9" s="421" t="s">
        <v>640</v>
      </c>
      <c r="I9" s="422"/>
      <c r="J9" s="422"/>
      <c r="K9" s="437"/>
      <c r="L9" s="422"/>
      <c r="M9" s="422"/>
    </row>
    <row r="10" spans="1:13" ht="11.25" customHeight="1">
      <c r="A10" s="442"/>
      <c r="B10" s="437"/>
      <c r="C10" s="437"/>
      <c r="D10" s="437"/>
      <c r="E10" s="437"/>
      <c r="F10" s="421" t="s">
        <v>641</v>
      </c>
      <c r="G10" s="422"/>
      <c r="H10" s="422"/>
      <c r="I10" s="422"/>
      <c r="J10" s="422"/>
      <c r="K10" s="437"/>
      <c r="L10" s="422"/>
      <c r="M10" s="422"/>
    </row>
    <row r="11" spans="1:13" ht="9.75" customHeight="1">
      <c r="A11" s="443"/>
      <c r="B11" s="438"/>
      <c r="C11" s="438"/>
      <c r="D11" s="438"/>
      <c r="E11" s="438"/>
      <c r="F11" s="423"/>
      <c r="G11" s="423"/>
      <c r="H11" s="423"/>
      <c r="I11" s="423"/>
      <c r="J11" s="423"/>
      <c r="K11" s="438"/>
      <c r="L11" s="423"/>
      <c r="M11" s="423"/>
    </row>
    <row r="12" spans="1:13" ht="10.5" customHeight="1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</row>
    <row r="13" spans="1:13" ht="33.75">
      <c r="A13" s="300" t="s">
        <v>668</v>
      </c>
      <c r="B13" s="301">
        <f>9958558377.48</f>
        <v>9958558377.48</v>
      </c>
      <c r="C13" s="301">
        <f>9945563426.77</f>
        <v>9945563426.77</v>
      </c>
      <c r="D13" s="301">
        <f>3115490378.46</f>
        <v>3115490378.46</v>
      </c>
      <c r="E13" s="301">
        <f>1145269302.66</f>
        <v>1145269302.66</v>
      </c>
      <c r="F13" s="301">
        <f>209079664.87</f>
        <v>209079664.87</v>
      </c>
      <c r="G13" s="301">
        <f>1942858332.43</f>
        <v>1942858332.43</v>
      </c>
      <c r="H13" s="301">
        <f>27362743.37</f>
        <v>27362743.37</v>
      </c>
      <c r="I13" s="301">
        <f>0</f>
        <v>0</v>
      </c>
      <c r="J13" s="301">
        <f>6250039441.18</f>
        <v>6250039441.18</v>
      </c>
      <c r="K13" s="301">
        <f>12994950.71</f>
        <v>12994950.71</v>
      </c>
      <c r="L13" s="301">
        <f>0</f>
        <v>0</v>
      </c>
      <c r="M13" s="301">
        <f>10750119.34</f>
        <v>10750119.34</v>
      </c>
    </row>
    <row r="14" spans="1:13" ht="23.25" customHeight="1">
      <c r="A14" s="302" t="s">
        <v>643</v>
      </c>
      <c r="B14" s="301">
        <f>1291958613.99</f>
        <v>1291958613.99</v>
      </c>
      <c r="C14" s="301">
        <f>1291958613.99</f>
        <v>1291958613.99</v>
      </c>
      <c r="D14" s="301">
        <f>27150000</f>
        <v>27150000</v>
      </c>
      <c r="E14" s="301">
        <f>13000000</f>
        <v>13000000</v>
      </c>
      <c r="F14" s="301">
        <f>0</f>
        <v>0</v>
      </c>
      <c r="G14" s="301">
        <f>14150000</f>
        <v>14150000</v>
      </c>
      <c r="H14" s="301">
        <f>0</f>
        <v>0</v>
      </c>
      <c r="I14" s="301">
        <f>0</f>
        <v>0</v>
      </c>
      <c r="J14" s="301">
        <f>1100814813.99</f>
        <v>1100814813.99</v>
      </c>
      <c r="K14" s="301">
        <f>0</f>
        <v>0</v>
      </c>
      <c r="L14" s="301">
        <f>0</f>
        <v>0</v>
      </c>
      <c r="M14" s="301">
        <f>0</f>
        <v>0</v>
      </c>
    </row>
    <row r="15" spans="1:13" ht="13.5" customHeight="1">
      <c r="A15" s="303" t="s">
        <v>644</v>
      </c>
      <c r="B15" s="301">
        <f>1257858613.99</f>
        <v>1257858613.99</v>
      </c>
      <c r="C15" s="301">
        <f>1257858613.99</f>
        <v>1257858613.99</v>
      </c>
      <c r="D15" s="301">
        <f>27150000</f>
        <v>27150000</v>
      </c>
      <c r="E15" s="301">
        <f>13000000</f>
        <v>13000000</v>
      </c>
      <c r="F15" s="301">
        <f>0</f>
        <v>0</v>
      </c>
      <c r="G15" s="301">
        <f>14150000</f>
        <v>14150000</v>
      </c>
      <c r="H15" s="301">
        <f>0</f>
        <v>0</v>
      </c>
      <c r="I15" s="301">
        <f>0</f>
        <v>0</v>
      </c>
      <c r="J15" s="301">
        <f>1068814813.99</f>
        <v>1068814813.99</v>
      </c>
      <c r="K15" s="301">
        <f>0</f>
        <v>0</v>
      </c>
      <c r="L15" s="301">
        <f>0</f>
        <v>0</v>
      </c>
      <c r="M15" s="301">
        <f>0</f>
        <v>0</v>
      </c>
    </row>
    <row r="16" spans="1:13" ht="21" customHeight="1">
      <c r="A16" s="302" t="s">
        <v>645</v>
      </c>
      <c r="B16" s="301">
        <f>8543945489.07</f>
        <v>8543945489.07</v>
      </c>
      <c r="C16" s="301">
        <f>8530950538.36</f>
        <v>8530950538.36</v>
      </c>
      <c r="D16" s="301">
        <f>3053670734.7</f>
        <v>3053670734.7</v>
      </c>
      <c r="E16" s="301">
        <f>1126795889.31</f>
        <v>1126795889.31</v>
      </c>
      <c r="F16" s="301">
        <f>208384341.08</f>
        <v>208384341.08</v>
      </c>
      <c r="G16" s="301">
        <f>1908021504.48</f>
        <v>1908021504.48</v>
      </c>
      <c r="H16" s="301">
        <f>18853340.91</f>
        <v>18853340.91</v>
      </c>
      <c r="I16" s="301">
        <f>0</f>
        <v>0</v>
      </c>
      <c r="J16" s="301">
        <f>5149212346.41</f>
        <v>5149212346.41</v>
      </c>
      <c r="K16" s="301">
        <f>12994950.71</f>
        <v>12994950.71</v>
      </c>
      <c r="L16" s="301">
        <f>0</f>
        <v>0</v>
      </c>
      <c r="M16" s="301">
        <f>10750119.34</f>
        <v>10750119.34</v>
      </c>
    </row>
    <row r="17" spans="1:13" ht="13.5" customHeight="1">
      <c r="A17" s="303" t="s">
        <v>644</v>
      </c>
      <c r="B17" s="301">
        <f>8212166847.78</f>
        <v>8212166847.78</v>
      </c>
      <c r="C17" s="301">
        <f>8199171897.07</f>
        <v>8199171897.07</v>
      </c>
      <c r="D17" s="301">
        <f>2894799809.2</f>
        <v>2894799809.2</v>
      </c>
      <c r="E17" s="301">
        <f>1027900254.36</f>
        <v>1027900254.36</v>
      </c>
      <c r="F17" s="301">
        <f>141919860.69</f>
        <v>141919860.69</v>
      </c>
      <c r="G17" s="301">
        <f>1848087388.03</f>
        <v>1848087388.03</v>
      </c>
      <c r="H17" s="301">
        <f>18812166.81</f>
        <v>18812166.81</v>
      </c>
      <c r="I17" s="301">
        <f>0</f>
        <v>0</v>
      </c>
      <c r="J17" s="301">
        <f>4997441063.96</f>
        <v>4997441063.96</v>
      </c>
      <c r="K17" s="301">
        <f>12994950.71</f>
        <v>12994950.71</v>
      </c>
      <c r="L17" s="301">
        <f>0</f>
        <v>0</v>
      </c>
      <c r="M17" s="301">
        <f>10750119.34</f>
        <v>10750119.34</v>
      </c>
    </row>
    <row r="18" spans="1:13" ht="13.5" customHeight="1">
      <c r="A18" s="302" t="s">
        <v>646</v>
      </c>
      <c r="B18" s="301">
        <f>156380.78</f>
        <v>156380.78</v>
      </c>
      <c r="C18" s="301">
        <f>156380.78</f>
        <v>156380.78</v>
      </c>
      <c r="D18" s="301">
        <f>0</f>
        <v>0</v>
      </c>
      <c r="E18" s="301">
        <f>0</f>
        <v>0</v>
      </c>
      <c r="F18" s="301">
        <f>0</f>
        <v>0</v>
      </c>
      <c r="G18" s="301">
        <f>0</f>
        <v>0</v>
      </c>
      <c r="H18" s="301">
        <f>0</f>
        <v>0</v>
      </c>
      <c r="I18" s="301">
        <f>0</f>
        <v>0</v>
      </c>
      <c r="J18" s="301">
        <f>0</f>
        <v>0</v>
      </c>
      <c r="K18" s="301">
        <f>0</f>
        <v>0</v>
      </c>
      <c r="L18" s="301">
        <f>0</f>
        <v>0</v>
      </c>
      <c r="M18" s="301">
        <f>0</f>
        <v>0</v>
      </c>
    </row>
    <row r="19" spans="1:13" ht="23.25" customHeight="1">
      <c r="A19" s="302" t="s">
        <v>647</v>
      </c>
      <c r="B19" s="301">
        <f>122497893.64</f>
        <v>122497893.64</v>
      </c>
      <c r="C19" s="301">
        <f>122497893.64</f>
        <v>122497893.64</v>
      </c>
      <c r="D19" s="301">
        <f>34669643.76</f>
        <v>34669643.76</v>
      </c>
      <c r="E19" s="301">
        <f>5473413.35</f>
        <v>5473413.35</v>
      </c>
      <c r="F19" s="301">
        <f>695323.79</f>
        <v>695323.79</v>
      </c>
      <c r="G19" s="301">
        <f>20686827.95</f>
        <v>20686827.95</v>
      </c>
      <c r="H19" s="301">
        <f>8509402.46</f>
        <v>8509402.46</v>
      </c>
      <c r="I19" s="301">
        <f>0</f>
        <v>0</v>
      </c>
      <c r="J19" s="301">
        <f>12280.78</f>
        <v>12280.78</v>
      </c>
      <c r="K19" s="301">
        <f>0</f>
        <v>0</v>
      </c>
      <c r="L19" s="301">
        <f>0</f>
        <v>0</v>
      </c>
      <c r="M19" s="301">
        <f>0</f>
        <v>0</v>
      </c>
    </row>
    <row r="20" spans="1:13" ht="15" customHeight="1">
      <c r="A20" s="302" t="s">
        <v>648</v>
      </c>
      <c r="B20" s="301">
        <f>87661332.2</f>
        <v>87661332.2</v>
      </c>
      <c r="C20" s="301">
        <f>87661332.2</f>
        <v>87661332.2</v>
      </c>
      <c r="D20" s="301">
        <f>12061613.93</f>
        <v>12061613.93</v>
      </c>
      <c r="E20" s="301">
        <f>1137512.46</f>
        <v>1137512.46</v>
      </c>
      <c r="F20" s="301">
        <f>11572.33</f>
        <v>11572.33</v>
      </c>
      <c r="G20" s="301">
        <f>10796178.43</f>
        <v>10796178.43</v>
      </c>
      <c r="H20" s="301">
        <f>127923.04</f>
        <v>127923.04</v>
      </c>
      <c r="I20" s="301">
        <f>0</f>
        <v>0</v>
      </c>
      <c r="J20" s="301">
        <f>400</f>
        <v>400</v>
      </c>
      <c r="K20" s="301">
        <f>0</f>
        <v>0</v>
      </c>
      <c r="L20" s="301">
        <f>0</f>
        <v>0</v>
      </c>
      <c r="M20" s="301">
        <f>0</f>
        <v>0</v>
      </c>
    </row>
    <row r="21" ht="6" customHeight="1"/>
    <row r="22" spans="1:13" ht="13.5" customHeight="1">
      <c r="A22" s="426" t="s">
        <v>649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ht="3.75" customHeight="1"/>
    <row r="24" spans="1:13" ht="13.5" customHeight="1">
      <c r="A24" s="441" t="s">
        <v>463</v>
      </c>
      <c r="B24" s="436" t="s">
        <v>650</v>
      </c>
      <c r="C24" s="439" t="s">
        <v>651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</row>
    <row r="25" spans="1:13" ht="12" customHeight="1">
      <c r="A25" s="442"/>
      <c r="B25" s="437"/>
      <c r="C25" s="444" t="s">
        <v>629</v>
      </c>
      <c r="D25" s="439"/>
      <c r="E25" s="439"/>
      <c r="F25" s="439"/>
      <c r="G25" s="439"/>
      <c r="H25" s="439"/>
      <c r="I25" s="439"/>
      <c r="J25" s="440"/>
      <c r="K25" s="444" t="s">
        <v>630</v>
      </c>
      <c r="L25" s="439"/>
      <c r="M25" s="440"/>
    </row>
    <row r="26" spans="1:13" ht="12" customHeight="1">
      <c r="A26" s="442"/>
      <c r="B26" s="437"/>
      <c r="C26" s="436" t="s">
        <v>465</v>
      </c>
      <c r="D26" s="439" t="s">
        <v>652</v>
      </c>
      <c r="E26" s="439"/>
      <c r="F26" s="439"/>
      <c r="G26" s="439"/>
      <c r="H26" s="439"/>
      <c r="I26" s="439"/>
      <c r="J26" s="440"/>
      <c r="K26" s="436" t="s">
        <v>465</v>
      </c>
      <c r="L26" s="439" t="s">
        <v>652</v>
      </c>
      <c r="M26" s="440"/>
    </row>
    <row r="27" spans="1:13" ht="13.5" customHeight="1">
      <c r="A27" s="442"/>
      <c r="B27" s="437"/>
      <c r="C27" s="437"/>
      <c r="D27" s="436" t="s">
        <v>632</v>
      </c>
      <c r="E27" s="440" t="s">
        <v>653</v>
      </c>
      <c r="F27" s="425"/>
      <c r="G27" s="425"/>
      <c r="H27" s="425"/>
      <c r="I27" s="421" t="s">
        <v>634</v>
      </c>
      <c r="J27" s="421" t="s">
        <v>635</v>
      </c>
      <c r="K27" s="437"/>
      <c r="L27" s="421" t="s">
        <v>636</v>
      </c>
      <c r="M27" s="421" t="s">
        <v>637</v>
      </c>
    </row>
    <row r="28" spans="1:13" ht="13.5" customHeight="1">
      <c r="A28" s="442"/>
      <c r="B28" s="437"/>
      <c r="C28" s="437"/>
      <c r="D28" s="437"/>
      <c r="E28" s="436" t="s">
        <v>638</v>
      </c>
      <c r="F28" s="298" t="s">
        <v>652</v>
      </c>
      <c r="G28" s="421" t="s">
        <v>639</v>
      </c>
      <c r="H28" s="421" t="s">
        <v>640</v>
      </c>
      <c r="I28" s="422"/>
      <c r="J28" s="422"/>
      <c r="K28" s="437"/>
      <c r="L28" s="422"/>
      <c r="M28" s="422"/>
    </row>
    <row r="29" spans="1:13" ht="11.25" customHeight="1">
      <c r="A29" s="442"/>
      <c r="B29" s="437"/>
      <c r="C29" s="437"/>
      <c r="D29" s="437"/>
      <c r="E29" s="437"/>
      <c r="F29" s="421" t="s">
        <v>641</v>
      </c>
      <c r="G29" s="422"/>
      <c r="H29" s="422"/>
      <c r="I29" s="422"/>
      <c r="J29" s="422"/>
      <c r="K29" s="437"/>
      <c r="L29" s="422"/>
      <c r="M29" s="422"/>
    </row>
    <row r="30" spans="1:13" ht="11.25" customHeight="1">
      <c r="A30" s="443"/>
      <c r="B30" s="438"/>
      <c r="C30" s="438"/>
      <c r="D30" s="438"/>
      <c r="E30" s="438"/>
      <c r="F30" s="423"/>
      <c r="G30" s="423"/>
      <c r="H30" s="423"/>
      <c r="I30" s="423"/>
      <c r="J30" s="423"/>
      <c r="K30" s="438"/>
      <c r="L30" s="423"/>
      <c r="M30" s="423"/>
    </row>
    <row r="31" spans="1:13" ht="11.25" customHeight="1">
      <c r="A31" s="299">
        <v>1</v>
      </c>
      <c r="B31" s="299">
        <v>2</v>
      </c>
      <c r="C31" s="299">
        <v>3</v>
      </c>
      <c r="D31" s="299">
        <v>4</v>
      </c>
      <c r="E31" s="299">
        <v>5</v>
      </c>
      <c r="F31" s="299">
        <v>6</v>
      </c>
      <c r="G31" s="299">
        <v>7</v>
      </c>
      <c r="H31" s="299">
        <v>8</v>
      </c>
      <c r="I31" s="299">
        <v>9</v>
      </c>
      <c r="J31" s="299">
        <v>10</v>
      </c>
      <c r="K31" s="299">
        <v>11</v>
      </c>
      <c r="L31" s="299">
        <v>12</v>
      </c>
      <c r="M31" s="299">
        <v>13</v>
      </c>
    </row>
    <row r="32" spans="1:13" ht="27.75" customHeight="1">
      <c r="A32" s="300" t="s">
        <v>654</v>
      </c>
      <c r="B32" s="304">
        <f>7655359883.83</f>
        <v>7655359883.83</v>
      </c>
      <c r="C32" s="304">
        <f>7655340641.59</f>
        <v>7655340641.59</v>
      </c>
      <c r="D32" s="304">
        <f>164010578.02</f>
        <v>164010578.02</v>
      </c>
      <c r="E32" s="304">
        <f>25393459.63</f>
        <v>25393459.63</v>
      </c>
      <c r="F32" s="304">
        <f>2006403.46</f>
        <v>2006403.46</v>
      </c>
      <c r="G32" s="304">
        <f>135161308.79</f>
        <v>135161308.79</v>
      </c>
      <c r="H32" s="304">
        <f>3455809.6</f>
        <v>3455809.6</v>
      </c>
      <c r="I32" s="304">
        <f>3994.22</f>
        <v>3994.22</v>
      </c>
      <c r="J32" s="304">
        <f>31368030.83</f>
        <v>31368030.83</v>
      </c>
      <c r="K32" s="304">
        <f>19242.24</f>
        <v>19242.24</v>
      </c>
      <c r="L32" s="304">
        <f>0</f>
        <v>0</v>
      </c>
      <c r="M32" s="304">
        <f>0</f>
        <v>0</v>
      </c>
    </row>
    <row r="33" spans="1:13" ht="24" customHeight="1">
      <c r="A33" s="302" t="s">
        <v>643</v>
      </c>
      <c r="B33" s="304">
        <f>10343793.25</f>
        <v>10343793.25</v>
      </c>
      <c r="C33" s="304">
        <f>10343793.25</f>
        <v>10343793.25</v>
      </c>
      <c r="D33" s="304">
        <f>0</f>
        <v>0</v>
      </c>
      <c r="E33" s="304">
        <f>0</f>
        <v>0</v>
      </c>
      <c r="F33" s="304">
        <f>0</f>
        <v>0</v>
      </c>
      <c r="G33" s="304">
        <f>0</f>
        <v>0</v>
      </c>
      <c r="H33" s="304">
        <f>0</f>
        <v>0</v>
      </c>
      <c r="I33" s="304">
        <f>0</f>
        <v>0</v>
      </c>
      <c r="J33" s="304">
        <f>6008</f>
        <v>6008</v>
      </c>
      <c r="K33" s="304">
        <f>0</f>
        <v>0</v>
      </c>
      <c r="L33" s="304">
        <f>0</f>
        <v>0</v>
      </c>
      <c r="M33" s="304">
        <f>0</f>
        <v>0</v>
      </c>
    </row>
    <row r="34" spans="1:13" ht="13.5" customHeight="1">
      <c r="A34" s="303" t="s">
        <v>644</v>
      </c>
      <c r="B34" s="304">
        <f>1073832.26</f>
        <v>1073832.26</v>
      </c>
      <c r="C34" s="304">
        <f>1073832.26</f>
        <v>1073832.26</v>
      </c>
      <c r="D34" s="304">
        <f>0</f>
        <v>0</v>
      </c>
      <c r="E34" s="304">
        <f>0</f>
        <v>0</v>
      </c>
      <c r="F34" s="304">
        <f>0</f>
        <v>0</v>
      </c>
      <c r="G34" s="304">
        <f>0</f>
        <v>0</v>
      </c>
      <c r="H34" s="304">
        <f>0</f>
        <v>0</v>
      </c>
      <c r="I34" s="304">
        <f>0</f>
        <v>0</v>
      </c>
      <c r="J34" s="304">
        <f>0</f>
        <v>0</v>
      </c>
      <c r="K34" s="304">
        <f>0</f>
        <v>0</v>
      </c>
      <c r="L34" s="304">
        <f>0</f>
        <v>0</v>
      </c>
      <c r="M34" s="304">
        <f>0</f>
        <v>0</v>
      </c>
    </row>
    <row r="35" spans="1:13" ht="22.5">
      <c r="A35" s="302" t="s">
        <v>645</v>
      </c>
      <c r="B35" s="304">
        <f>51377919.07</f>
        <v>51377919.07</v>
      </c>
      <c r="C35" s="304">
        <f>51377919.07</f>
        <v>51377919.07</v>
      </c>
      <c r="D35" s="304">
        <f>11571767.2</f>
        <v>11571767.2</v>
      </c>
      <c r="E35" s="304">
        <f>42000</f>
        <v>42000</v>
      </c>
      <c r="F35" s="304">
        <f>0</f>
        <v>0</v>
      </c>
      <c r="G35" s="304">
        <f>11529767.2</f>
        <v>11529767.2</v>
      </c>
      <c r="H35" s="304">
        <f>0</f>
        <v>0</v>
      </c>
      <c r="I35" s="304">
        <f>0</f>
        <v>0</v>
      </c>
      <c r="J35" s="304">
        <f>0</f>
        <v>0</v>
      </c>
      <c r="K35" s="304">
        <f>0</f>
        <v>0</v>
      </c>
      <c r="L35" s="304">
        <f>0</f>
        <v>0</v>
      </c>
      <c r="M35" s="304">
        <f>0</f>
        <v>0</v>
      </c>
    </row>
    <row r="36" spans="1:13" ht="13.5" customHeight="1">
      <c r="A36" s="303" t="s">
        <v>644</v>
      </c>
      <c r="B36" s="304">
        <f>42845239.95</f>
        <v>42845239.95</v>
      </c>
      <c r="C36" s="304">
        <f>42845239.95</f>
        <v>42845239.95</v>
      </c>
      <c r="D36" s="304">
        <f>7328383.69</f>
        <v>7328383.69</v>
      </c>
      <c r="E36" s="304">
        <f>0</f>
        <v>0</v>
      </c>
      <c r="F36" s="304">
        <f>0</f>
        <v>0</v>
      </c>
      <c r="G36" s="304">
        <f>7328383.69</f>
        <v>7328383.69</v>
      </c>
      <c r="H36" s="304">
        <f>0</f>
        <v>0</v>
      </c>
      <c r="I36" s="304">
        <f>0</f>
        <v>0</v>
      </c>
      <c r="J36" s="304">
        <f>0</f>
        <v>0</v>
      </c>
      <c r="K36" s="304">
        <f>0</f>
        <v>0</v>
      </c>
      <c r="L36" s="304">
        <f>0</f>
        <v>0</v>
      </c>
      <c r="M36" s="304">
        <f>0</f>
        <v>0</v>
      </c>
    </row>
    <row r="37" spans="1:13" ht="13.5" customHeight="1">
      <c r="A37" s="302" t="s">
        <v>655</v>
      </c>
      <c r="B37" s="304">
        <f>45912563.37</f>
        <v>45912563.37</v>
      </c>
      <c r="C37" s="304">
        <f>45912563.37</f>
        <v>45912563.37</v>
      </c>
      <c r="D37" s="304">
        <f>1094.18</f>
        <v>1094.18</v>
      </c>
      <c r="E37" s="304">
        <f>0</f>
        <v>0</v>
      </c>
      <c r="F37" s="304">
        <f>0</f>
        <v>0</v>
      </c>
      <c r="G37" s="304">
        <f>1094.18</f>
        <v>1094.18</v>
      </c>
      <c r="H37" s="304">
        <f>0</f>
        <v>0</v>
      </c>
      <c r="I37" s="304">
        <f>0</f>
        <v>0</v>
      </c>
      <c r="J37" s="304">
        <f>28952207.2</f>
        <v>28952207.2</v>
      </c>
      <c r="K37" s="304">
        <f>0</f>
        <v>0</v>
      </c>
      <c r="L37" s="304">
        <f>0</f>
        <v>0</v>
      </c>
      <c r="M37" s="304">
        <f>0</f>
        <v>0</v>
      </c>
    </row>
    <row r="38" spans="1:13" ht="24" customHeight="1">
      <c r="A38" s="302" t="s">
        <v>656</v>
      </c>
      <c r="B38" s="304">
        <f>7547725608.14</f>
        <v>7547725608.14</v>
      </c>
      <c r="C38" s="304">
        <f>7547706365.9</f>
        <v>7547706365.9</v>
      </c>
      <c r="D38" s="304">
        <f>152437716.64</f>
        <v>152437716.64</v>
      </c>
      <c r="E38" s="304">
        <f>25351459.63</f>
        <v>25351459.63</v>
      </c>
      <c r="F38" s="304">
        <f>2006403.46</f>
        <v>2006403.46</v>
      </c>
      <c r="G38" s="304">
        <f>123630447.41</f>
        <v>123630447.41</v>
      </c>
      <c r="H38" s="304">
        <f>3455809.6</f>
        <v>3455809.6</v>
      </c>
      <c r="I38" s="304">
        <f>3994.22</f>
        <v>3994.22</v>
      </c>
      <c r="J38" s="304">
        <f>2409815.63</f>
        <v>2409815.63</v>
      </c>
      <c r="K38" s="304">
        <f>19242.24</f>
        <v>19242.24</v>
      </c>
      <c r="L38" s="304">
        <f>0</f>
        <v>0</v>
      </c>
      <c r="M38" s="304">
        <f>0</f>
        <v>0</v>
      </c>
    </row>
    <row r="39" spans="1:13" ht="14.25" customHeight="1">
      <c r="A39" s="302" t="s">
        <v>648</v>
      </c>
      <c r="B39" s="304">
        <f>609703445.45</f>
        <v>609703445.45</v>
      </c>
      <c r="C39" s="304">
        <f>609700843.01</f>
        <v>609700843.01</v>
      </c>
      <c r="D39" s="304">
        <f>33600219.74</f>
        <v>33600219.74</v>
      </c>
      <c r="E39" s="304">
        <f>5876343.04</f>
        <v>5876343.04</v>
      </c>
      <c r="F39" s="304">
        <f>18597.9</f>
        <v>18597.9</v>
      </c>
      <c r="G39" s="304">
        <f>27079058.56</f>
        <v>27079058.56</v>
      </c>
      <c r="H39" s="304">
        <f>644818.14</f>
        <v>644818.14</v>
      </c>
      <c r="I39" s="304">
        <f>0</f>
        <v>0</v>
      </c>
      <c r="J39" s="304">
        <f>50018.56</f>
        <v>50018.56</v>
      </c>
      <c r="K39" s="304">
        <f>2602.44</f>
        <v>2602.44</v>
      </c>
      <c r="L39" s="304">
        <f>0</f>
        <v>0</v>
      </c>
      <c r="M39" s="304">
        <f>0</f>
        <v>0</v>
      </c>
    </row>
    <row r="41" spans="2:13" ht="13.5" customHeight="1">
      <c r="B41" s="426" t="s">
        <v>657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</row>
    <row r="43" spans="2:11" ht="13.5" customHeight="1">
      <c r="B43" s="427" t="s">
        <v>463</v>
      </c>
      <c r="C43" s="428"/>
      <c r="D43" s="428"/>
      <c r="E43" s="429"/>
      <c r="F43" s="436" t="s">
        <v>465</v>
      </c>
      <c r="G43" s="439" t="s">
        <v>631</v>
      </c>
      <c r="H43" s="439"/>
      <c r="I43" s="439"/>
      <c r="J43" s="439"/>
      <c r="K43" s="440"/>
    </row>
    <row r="44" spans="2:11" ht="13.5" customHeight="1">
      <c r="B44" s="430"/>
      <c r="C44" s="431"/>
      <c r="D44" s="431"/>
      <c r="E44" s="432"/>
      <c r="F44" s="437"/>
      <c r="G44" s="436" t="s">
        <v>658</v>
      </c>
      <c r="H44" s="439" t="s">
        <v>633</v>
      </c>
      <c r="I44" s="439"/>
      <c r="J44" s="439"/>
      <c r="K44" s="440"/>
    </row>
    <row r="45" spans="2:11" ht="24.75" customHeight="1">
      <c r="B45" s="430"/>
      <c r="C45" s="431"/>
      <c r="D45" s="431"/>
      <c r="E45" s="432"/>
      <c r="F45" s="437"/>
      <c r="G45" s="437"/>
      <c r="H45" s="436" t="s">
        <v>638</v>
      </c>
      <c r="I45" s="298" t="s">
        <v>631</v>
      </c>
      <c r="J45" s="421" t="s">
        <v>639</v>
      </c>
      <c r="K45" s="421" t="s">
        <v>640</v>
      </c>
    </row>
    <row r="46" spans="2:11" ht="11.25" customHeight="1">
      <c r="B46" s="430"/>
      <c r="C46" s="431"/>
      <c r="D46" s="431"/>
      <c r="E46" s="432"/>
      <c r="F46" s="437"/>
      <c r="G46" s="437"/>
      <c r="H46" s="437"/>
      <c r="I46" s="421" t="s">
        <v>641</v>
      </c>
      <c r="J46" s="422"/>
      <c r="K46" s="422"/>
    </row>
    <row r="47" spans="2:11" ht="11.25" customHeight="1">
      <c r="B47" s="433"/>
      <c r="C47" s="434"/>
      <c r="D47" s="434"/>
      <c r="E47" s="435"/>
      <c r="F47" s="438"/>
      <c r="G47" s="438"/>
      <c r="H47" s="438"/>
      <c r="I47" s="423"/>
      <c r="J47" s="423"/>
      <c r="K47" s="423"/>
    </row>
    <row r="48" spans="2:11" ht="13.5" customHeight="1">
      <c r="B48" s="425">
        <v>1</v>
      </c>
      <c r="C48" s="425"/>
      <c r="D48" s="425"/>
      <c r="E48" s="425"/>
      <c r="F48" s="299">
        <v>2</v>
      </c>
      <c r="G48" s="299">
        <v>3</v>
      </c>
      <c r="H48" s="299">
        <v>4</v>
      </c>
      <c r="I48" s="299">
        <v>5</v>
      </c>
      <c r="J48" s="299">
        <v>6</v>
      </c>
      <c r="K48" s="299">
        <v>7</v>
      </c>
    </row>
    <row r="49" spans="2:11" ht="33.75" customHeight="1">
      <c r="B49" s="424" t="s">
        <v>659</v>
      </c>
      <c r="C49" s="424"/>
      <c r="D49" s="424"/>
      <c r="E49" s="424"/>
      <c r="F49" s="301">
        <f>723841315.29</f>
        <v>723841315.29</v>
      </c>
      <c r="G49" s="301">
        <f>247789017.03</f>
        <v>247789017.03</v>
      </c>
      <c r="H49" s="301">
        <f>56800931.96</f>
        <v>56800931.96</v>
      </c>
      <c r="I49" s="301">
        <f>260000</f>
        <v>260000</v>
      </c>
      <c r="J49" s="301">
        <f>189658377.5</f>
        <v>189658377.5</v>
      </c>
      <c r="K49" s="301">
        <f>1329707.57</f>
        <v>1329707.57</v>
      </c>
    </row>
    <row r="50" spans="2:11" ht="33.75" customHeight="1">
      <c r="B50" s="424" t="s">
        <v>660</v>
      </c>
      <c r="C50" s="424"/>
      <c r="D50" s="424"/>
      <c r="E50" s="424"/>
      <c r="F50" s="301">
        <f>57509497.24</f>
        <v>57509497.24</v>
      </c>
      <c r="G50" s="301">
        <f>13816208.9</f>
        <v>13816208.9</v>
      </c>
      <c r="H50" s="301">
        <f>3725797.73</f>
        <v>3725797.73</v>
      </c>
      <c r="I50" s="301">
        <f>0</f>
        <v>0</v>
      </c>
      <c r="J50" s="301">
        <f>9817648.87</f>
        <v>9817648.87</v>
      </c>
      <c r="K50" s="301">
        <f>272762.3</f>
        <v>272762.3</v>
      </c>
    </row>
    <row r="51" spans="2:11" ht="33.75" customHeight="1">
      <c r="B51" s="424" t="s">
        <v>661</v>
      </c>
      <c r="C51" s="424"/>
      <c r="D51" s="424"/>
      <c r="E51" s="424"/>
      <c r="F51" s="301">
        <f>1342467.89</f>
        <v>1342467.89</v>
      </c>
      <c r="G51" s="301">
        <f>1200757.89</f>
        <v>1200757.89</v>
      </c>
      <c r="H51" s="301">
        <f>368414.33</f>
        <v>368414.33</v>
      </c>
      <c r="I51" s="301">
        <f>0</f>
        <v>0</v>
      </c>
      <c r="J51" s="301">
        <f>832343.56</f>
        <v>832343.56</v>
      </c>
      <c r="K51" s="301">
        <f>0</f>
        <v>0</v>
      </c>
    </row>
    <row r="52" spans="2:11" ht="22.5" customHeight="1">
      <c r="B52" s="424" t="s">
        <v>662</v>
      </c>
      <c r="C52" s="424"/>
      <c r="D52" s="424"/>
      <c r="E52" s="424"/>
      <c r="F52" s="301">
        <f>15540738.52</f>
        <v>15540738.52</v>
      </c>
      <c r="G52" s="301">
        <f>11884765.38</f>
        <v>11884765.38</v>
      </c>
      <c r="H52" s="301">
        <f>1345818.35</f>
        <v>1345818.35</v>
      </c>
      <c r="I52" s="301">
        <f>0</f>
        <v>0</v>
      </c>
      <c r="J52" s="301">
        <f>10526947.03</f>
        <v>10526947.03</v>
      </c>
      <c r="K52" s="301">
        <f>12000</f>
        <v>12000</v>
      </c>
    </row>
    <row r="53" spans="2:11" ht="33.75" customHeight="1">
      <c r="B53" s="424" t="s">
        <v>663</v>
      </c>
      <c r="C53" s="424"/>
      <c r="D53" s="424"/>
      <c r="E53" s="424"/>
      <c r="F53" s="301">
        <f>6287044.91</f>
        <v>6287044.91</v>
      </c>
      <c r="G53" s="301">
        <f>5721464.36</f>
        <v>5721464.36</v>
      </c>
      <c r="H53" s="301">
        <f>531726.72</f>
        <v>531726.72</v>
      </c>
      <c r="I53" s="301">
        <f>0</f>
        <v>0</v>
      </c>
      <c r="J53" s="301">
        <f>5186737.64</f>
        <v>5186737.64</v>
      </c>
      <c r="K53" s="301">
        <f>3000</f>
        <v>3000</v>
      </c>
    </row>
    <row r="54" spans="2:11" ht="33.75" customHeight="1">
      <c r="B54" s="424" t="s">
        <v>664</v>
      </c>
      <c r="C54" s="424"/>
      <c r="D54" s="424"/>
      <c r="E54" s="424"/>
      <c r="F54" s="301">
        <f>166917.57</f>
        <v>166917.57</v>
      </c>
      <c r="G54" s="301">
        <f>84334.91</f>
        <v>84334.91</v>
      </c>
      <c r="H54" s="301">
        <f>0</f>
        <v>0</v>
      </c>
      <c r="I54" s="301">
        <f>0</f>
        <v>0</v>
      </c>
      <c r="J54" s="301">
        <f>84334.91</f>
        <v>84334.91</v>
      </c>
      <c r="K54" s="301">
        <f>0</f>
        <v>0</v>
      </c>
    </row>
    <row r="55" spans="2:11" ht="22.5" customHeight="1">
      <c r="B55" s="424" t="s">
        <v>665</v>
      </c>
      <c r="C55" s="424"/>
      <c r="D55" s="424"/>
      <c r="E55" s="424"/>
      <c r="F55" s="301">
        <f>127237324.74</f>
        <v>127237324.74</v>
      </c>
      <c r="G55" s="301">
        <f>49694626.24</f>
        <v>49694626.24</v>
      </c>
      <c r="H55" s="301">
        <f>11737949.12</f>
        <v>11737949.12</v>
      </c>
      <c r="I55" s="301">
        <f>0</f>
        <v>0</v>
      </c>
      <c r="J55" s="301">
        <f>37579057.8</f>
        <v>37579057.8</v>
      </c>
      <c r="K55" s="301">
        <f>377619.32</f>
        <v>377619.32</v>
      </c>
    </row>
  </sheetData>
  <mergeCells count="59">
    <mergeCell ref="B50:E50"/>
    <mergeCell ref="H28:H30"/>
    <mergeCell ref="A1:M1"/>
    <mergeCell ref="B55:E55"/>
    <mergeCell ref="B51:E51"/>
    <mergeCell ref="B52:E52"/>
    <mergeCell ref="B53:E53"/>
    <mergeCell ref="B54:E54"/>
    <mergeCell ref="I46:I47"/>
    <mergeCell ref="B48:E48"/>
    <mergeCell ref="B49:E49"/>
    <mergeCell ref="B43:E47"/>
    <mergeCell ref="F43:F47"/>
    <mergeCell ref="G43:K43"/>
    <mergeCell ref="G44:G47"/>
    <mergeCell ref="H44:K44"/>
    <mergeCell ref="H45:H47"/>
    <mergeCell ref="J45:J47"/>
    <mergeCell ref="K45:K47"/>
    <mergeCell ref="F29:F30"/>
    <mergeCell ref="B41:M41"/>
    <mergeCell ref="K26:K30"/>
    <mergeCell ref="L26:M26"/>
    <mergeCell ref="D27:D30"/>
    <mergeCell ref="E27:H27"/>
    <mergeCell ref="I27:I30"/>
    <mergeCell ref="J27:J30"/>
    <mergeCell ref="L27:L30"/>
    <mergeCell ref="M27:M30"/>
    <mergeCell ref="A22:M22"/>
    <mergeCell ref="A24:A30"/>
    <mergeCell ref="B24:B30"/>
    <mergeCell ref="C24:M24"/>
    <mergeCell ref="C25:J25"/>
    <mergeCell ref="K25:M25"/>
    <mergeCell ref="C26:C30"/>
    <mergeCell ref="D26:J26"/>
    <mergeCell ref="E28:E30"/>
    <mergeCell ref="G28:G30"/>
    <mergeCell ref="L8:L11"/>
    <mergeCell ref="M8:M11"/>
    <mergeCell ref="E9:E11"/>
    <mergeCell ref="G9:G11"/>
    <mergeCell ref="H9:H11"/>
    <mergeCell ref="F10:F11"/>
    <mergeCell ref="D8:D11"/>
    <mergeCell ref="E8:H8"/>
    <mergeCell ref="I8:I11"/>
    <mergeCell ref="J8:J11"/>
    <mergeCell ref="A3:M3"/>
    <mergeCell ref="A5:A11"/>
    <mergeCell ref="B5:B11"/>
    <mergeCell ref="C5:M5"/>
    <mergeCell ref="C6:J6"/>
    <mergeCell ref="K6:M6"/>
    <mergeCell ref="C7:C11"/>
    <mergeCell ref="D7:J7"/>
    <mergeCell ref="K7:K11"/>
    <mergeCell ref="L7:M7"/>
  </mergeCells>
  <printOptions horizontalCentered="1"/>
  <pageMargins left="0.2362204724409449" right="0.15748031496062992" top="0.4724409448818898" bottom="0.4330708661417323" header="0.15748031496062992" footer="0.2362204724409449"/>
  <pageSetup firstPageNumber="4" useFirstPageNumber="1" horizontalDpi="1200" verticalDpi="1200" orientation="landscape" paperSize="9" scale="95" r:id="rId1"/>
  <headerFooter alignWithMargins="0">
    <oddFooter>&amp;RStrona &amp;P z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24"/>
  <sheetViews>
    <sheetView showGridLines="0" workbookViewId="0" topLeftCell="A1">
      <selection activeCell="A1" sqref="A1:M2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17.7109375" style="1" customWidth="1"/>
    <col min="4" max="4" width="10.140625" style="1" customWidth="1"/>
    <col min="5" max="5" width="16.00390625" style="1" customWidth="1"/>
    <col min="6" max="6" width="16.421875" style="1" bestFit="1" customWidth="1"/>
    <col min="7" max="7" width="13.00390625" style="1" customWidth="1"/>
    <col min="8" max="8" width="16.00390625" style="1" customWidth="1"/>
    <col min="9" max="9" width="13.7109375" style="1" customWidth="1"/>
    <col min="10" max="10" width="11.28125" style="1" customWidth="1"/>
    <col min="11" max="11" width="11.140625" style="1" customWidth="1"/>
    <col min="12" max="12" width="5.7109375" style="1" customWidth="1"/>
    <col min="13" max="13" width="4.57421875" style="1" customWidth="1"/>
    <col min="14" max="16384" width="8.8515625" style="1" customWidth="1"/>
  </cols>
  <sheetData>
    <row r="1" spans="1:13" ht="18" customHeight="1">
      <c r="A1" s="464" t="s">
        <v>501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5.7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2" ht="13.5" thickBot="1">
      <c r="A3" s="2"/>
      <c r="B3" s="2"/>
    </row>
    <row r="4" spans="1:13" ht="12.75" customHeight="1" thickBot="1">
      <c r="A4" s="472" t="s">
        <v>0</v>
      </c>
      <c r="B4" s="472" t="s">
        <v>47</v>
      </c>
      <c r="C4" s="474" t="s">
        <v>134</v>
      </c>
      <c r="D4" s="452" t="s">
        <v>2</v>
      </c>
      <c r="E4" s="460" t="s">
        <v>494</v>
      </c>
      <c r="F4" s="452" t="s">
        <v>495</v>
      </c>
      <c r="G4" s="453" t="s">
        <v>3</v>
      </c>
      <c r="H4" s="455" t="s">
        <v>4</v>
      </c>
      <c r="I4" s="3" t="s">
        <v>5</v>
      </c>
      <c r="J4" s="468" t="s">
        <v>6</v>
      </c>
      <c r="K4" s="470" t="s">
        <v>7</v>
      </c>
      <c r="L4" s="447" t="s">
        <v>49</v>
      </c>
      <c r="M4" s="447" t="s">
        <v>50</v>
      </c>
    </row>
    <row r="5" spans="1:13" ht="52.5" customHeight="1" thickBot="1">
      <c r="A5" s="473"/>
      <c r="B5" s="473"/>
      <c r="C5" s="475"/>
      <c r="D5" s="459"/>
      <c r="E5" s="461"/>
      <c r="F5" s="448"/>
      <c r="G5" s="454"/>
      <c r="H5" s="456"/>
      <c r="I5" s="4" t="s">
        <v>10</v>
      </c>
      <c r="J5" s="469"/>
      <c r="K5" s="471"/>
      <c r="L5" s="448"/>
      <c r="M5" s="448"/>
    </row>
    <row r="6" spans="1:13" ht="13.5" customHeight="1" thickBot="1">
      <c r="A6" s="473"/>
      <c r="B6" s="473"/>
      <c r="C6" s="475"/>
      <c r="D6" s="459"/>
      <c r="E6" s="449" t="s">
        <v>11</v>
      </c>
      <c r="F6" s="449"/>
      <c r="G6" s="449"/>
      <c r="H6" s="449"/>
      <c r="I6" s="449"/>
      <c r="J6" s="449"/>
      <c r="K6" s="449"/>
      <c r="L6" s="450" t="s">
        <v>12</v>
      </c>
      <c r="M6" s="451"/>
    </row>
    <row r="7" spans="1:13" s="10" customFormat="1" ht="12" thickBot="1">
      <c r="A7" s="117">
        <v>1</v>
      </c>
      <c r="B7" s="104">
        <v>2</v>
      </c>
      <c r="C7" s="118">
        <v>3</v>
      </c>
      <c r="D7" s="91">
        <v>4</v>
      </c>
      <c r="E7" s="96">
        <v>5</v>
      </c>
      <c r="F7" s="139">
        <v>6</v>
      </c>
      <c r="G7" s="7">
        <v>7</v>
      </c>
      <c r="H7" s="117">
        <v>8</v>
      </c>
      <c r="I7" s="6">
        <v>9</v>
      </c>
      <c r="J7" s="8">
        <v>10</v>
      </c>
      <c r="K7" s="9">
        <v>11</v>
      </c>
      <c r="L7" s="5">
        <v>12</v>
      </c>
      <c r="M7" s="6">
        <v>13</v>
      </c>
    </row>
    <row r="8" spans="1:13" ht="12.75">
      <c r="A8" s="121" t="s">
        <v>13</v>
      </c>
      <c r="B8" s="122" t="s">
        <v>135</v>
      </c>
      <c r="C8" s="126" t="s">
        <v>136</v>
      </c>
      <c r="D8" s="129">
        <v>88501</v>
      </c>
      <c r="E8" s="136">
        <v>48705801.79000001</v>
      </c>
      <c r="F8" s="133">
        <v>48310148.789999954</v>
      </c>
      <c r="G8" s="140">
        <f aca="true" t="shared" si="0" ref="G8:G71">E8-F8</f>
        <v>395653.00000005215</v>
      </c>
      <c r="H8" s="143">
        <v>7306162.4</v>
      </c>
      <c r="I8" s="144">
        <v>0</v>
      </c>
      <c r="J8" s="30">
        <f aca="true" t="shared" si="1" ref="J8:J71">H8/D8</f>
        <v>82.55457452458165</v>
      </c>
      <c r="K8" s="44">
        <f aca="true" t="shared" si="2" ref="K8:K71">I8/D8</f>
        <v>0</v>
      </c>
      <c r="L8" s="45">
        <f aca="true" t="shared" si="3" ref="L8:L71">H8/E8*100</f>
        <v>15.000599787888225</v>
      </c>
      <c r="M8" s="46">
        <f aca="true" t="shared" si="4" ref="M8:M71">I8/E8*100</f>
        <v>0</v>
      </c>
    </row>
    <row r="9" spans="1:13" ht="12.75">
      <c r="A9" s="123" t="s">
        <v>13</v>
      </c>
      <c r="B9" s="120" t="s">
        <v>13</v>
      </c>
      <c r="C9" s="127" t="s">
        <v>137</v>
      </c>
      <c r="D9" s="130">
        <v>104617</v>
      </c>
      <c r="E9" s="137">
        <v>65683653.36</v>
      </c>
      <c r="F9" s="134">
        <v>66501034.03999999</v>
      </c>
      <c r="G9" s="141">
        <f t="shared" si="0"/>
        <v>-817380.6799999923</v>
      </c>
      <c r="H9" s="145">
        <v>19884430.84</v>
      </c>
      <c r="I9" s="146">
        <v>0</v>
      </c>
      <c r="J9" s="34">
        <f t="shared" si="1"/>
        <v>190.0688304959997</v>
      </c>
      <c r="K9" s="47">
        <f t="shared" si="2"/>
        <v>0</v>
      </c>
      <c r="L9" s="45">
        <f t="shared" si="3"/>
        <v>30.273028101858312</v>
      </c>
      <c r="M9" s="46">
        <f t="shared" si="4"/>
        <v>0</v>
      </c>
    </row>
    <row r="10" spans="1:13" ht="12.75">
      <c r="A10" s="123" t="s">
        <v>13</v>
      </c>
      <c r="B10" s="120" t="s">
        <v>138</v>
      </c>
      <c r="C10" s="127" t="s">
        <v>139</v>
      </c>
      <c r="D10" s="130">
        <v>87670</v>
      </c>
      <c r="E10" s="137">
        <v>70955706.04999994</v>
      </c>
      <c r="F10" s="134">
        <v>65299936.09999998</v>
      </c>
      <c r="G10" s="141">
        <f t="shared" si="0"/>
        <v>5655769.949999958</v>
      </c>
      <c r="H10" s="145">
        <v>19826290.72</v>
      </c>
      <c r="I10" s="146">
        <v>0</v>
      </c>
      <c r="J10" s="34">
        <f t="shared" si="1"/>
        <v>226.14680871449752</v>
      </c>
      <c r="K10" s="47">
        <f t="shared" si="2"/>
        <v>0</v>
      </c>
      <c r="L10" s="45">
        <f t="shared" si="3"/>
        <v>27.941784845364126</v>
      </c>
      <c r="M10" s="46">
        <f t="shared" si="4"/>
        <v>0</v>
      </c>
    </row>
    <row r="11" spans="1:13" ht="12.75">
      <c r="A11" s="123" t="s">
        <v>13</v>
      </c>
      <c r="B11" s="120" t="s">
        <v>15</v>
      </c>
      <c r="C11" s="127" t="s">
        <v>140</v>
      </c>
      <c r="D11" s="130">
        <v>36464</v>
      </c>
      <c r="E11" s="137">
        <v>26916710.74</v>
      </c>
      <c r="F11" s="134">
        <v>26961897.439999998</v>
      </c>
      <c r="G11" s="141">
        <f t="shared" si="0"/>
        <v>-45186.699999999255</v>
      </c>
      <c r="H11" s="145">
        <v>8823431.5</v>
      </c>
      <c r="I11" s="146">
        <v>823431.5</v>
      </c>
      <c r="J11" s="34">
        <f t="shared" si="1"/>
        <v>241.9765110794208</v>
      </c>
      <c r="K11" s="47">
        <f t="shared" si="2"/>
        <v>22.582039820096533</v>
      </c>
      <c r="L11" s="45">
        <f t="shared" si="3"/>
        <v>32.780496789631144</v>
      </c>
      <c r="M11" s="46">
        <f t="shared" si="4"/>
        <v>3.0591832261893974</v>
      </c>
    </row>
    <row r="12" spans="1:13" ht="12.75">
      <c r="A12" s="123" t="s">
        <v>13</v>
      </c>
      <c r="B12" s="120" t="s">
        <v>141</v>
      </c>
      <c r="C12" s="127" t="s">
        <v>142</v>
      </c>
      <c r="D12" s="130">
        <v>51970</v>
      </c>
      <c r="E12" s="137">
        <v>38204725.27</v>
      </c>
      <c r="F12" s="134">
        <v>45084504.33</v>
      </c>
      <c r="G12" s="141">
        <f t="shared" si="0"/>
        <v>-6879779.059999995</v>
      </c>
      <c r="H12" s="145">
        <v>17286500</v>
      </c>
      <c r="I12" s="146">
        <v>0</v>
      </c>
      <c r="J12" s="34">
        <f t="shared" si="1"/>
        <v>332.6245911102559</v>
      </c>
      <c r="K12" s="47">
        <f t="shared" si="2"/>
        <v>0</v>
      </c>
      <c r="L12" s="45">
        <f t="shared" si="3"/>
        <v>45.24702082748415</v>
      </c>
      <c r="M12" s="46">
        <f t="shared" si="4"/>
        <v>0</v>
      </c>
    </row>
    <row r="13" spans="1:13" ht="12.75">
      <c r="A13" s="123" t="s">
        <v>13</v>
      </c>
      <c r="B13" s="120" t="s">
        <v>17</v>
      </c>
      <c r="C13" s="127" t="s">
        <v>143</v>
      </c>
      <c r="D13" s="130">
        <v>63711</v>
      </c>
      <c r="E13" s="137">
        <v>49711091.35999997</v>
      </c>
      <c r="F13" s="134">
        <v>49311582.10000001</v>
      </c>
      <c r="G13" s="141">
        <f t="shared" si="0"/>
        <v>399509.25999996066</v>
      </c>
      <c r="H13" s="145">
        <v>21642784.15</v>
      </c>
      <c r="I13" s="146">
        <v>0</v>
      </c>
      <c r="J13" s="34">
        <f t="shared" si="1"/>
        <v>339.7024713157853</v>
      </c>
      <c r="K13" s="47">
        <f t="shared" si="2"/>
        <v>0</v>
      </c>
      <c r="L13" s="45">
        <f t="shared" si="3"/>
        <v>43.53713337988565</v>
      </c>
      <c r="M13" s="46">
        <f t="shared" si="4"/>
        <v>0</v>
      </c>
    </row>
    <row r="14" spans="1:13" ht="12.75">
      <c r="A14" s="123" t="s">
        <v>13</v>
      </c>
      <c r="B14" s="120" t="s">
        <v>144</v>
      </c>
      <c r="C14" s="127" t="s">
        <v>145</v>
      </c>
      <c r="D14" s="130">
        <v>46234</v>
      </c>
      <c r="E14" s="137">
        <v>27452598.24</v>
      </c>
      <c r="F14" s="134">
        <v>29351193.779999994</v>
      </c>
      <c r="G14" s="141">
        <f t="shared" si="0"/>
        <v>-1898595.5399999954</v>
      </c>
      <c r="H14" s="145">
        <v>9900821.26</v>
      </c>
      <c r="I14" s="146">
        <v>14.91</v>
      </c>
      <c r="J14" s="34">
        <f t="shared" si="1"/>
        <v>214.14589393087337</v>
      </c>
      <c r="K14" s="47">
        <f t="shared" si="2"/>
        <v>0.00032248994246658304</v>
      </c>
      <c r="L14" s="45">
        <f t="shared" si="3"/>
        <v>36.0651519154713</v>
      </c>
      <c r="M14" s="46">
        <f t="shared" si="4"/>
        <v>5.431179908601613E-05</v>
      </c>
    </row>
    <row r="15" spans="1:13" ht="12.75">
      <c r="A15" s="123" t="s">
        <v>13</v>
      </c>
      <c r="B15" s="120" t="s">
        <v>19</v>
      </c>
      <c r="C15" s="127" t="s">
        <v>146</v>
      </c>
      <c r="D15" s="130">
        <v>166036</v>
      </c>
      <c r="E15" s="137">
        <v>118251720.32000001</v>
      </c>
      <c r="F15" s="134">
        <v>122750756.03999987</v>
      </c>
      <c r="G15" s="141">
        <f t="shared" si="0"/>
        <v>-4499035.719999865</v>
      </c>
      <c r="H15" s="145">
        <v>52765714</v>
      </c>
      <c r="I15" s="146">
        <v>0</v>
      </c>
      <c r="J15" s="34">
        <f t="shared" si="1"/>
        <v>317.7968271941025</v>
      </c>
      <c r="K15" s="47">
        <f t="shared" si="2"/>
        <v>0</v>
      </c>
      <c r="L15" s="45">
        <f t="shared" si="3"/>
        <v>44.62151912649654</v>
      </c>
      <c r="M15" s="46">
        <f t="shared" si="4"/>
        <v>0</v>
      </c>
    </row>
    <row r="16" spans="1:13" ht="12.75">
      <c r="A16" s="123" t="s">
        <v>13</v>
      </c>
      <c r="B16" s="120" t="s">
        <v>147</v>
      </c>
      <c r="C16" s="127" t="s">
        <v>148</v>
      </c>
      <c r="D16" s="130">
        <v>53101</v>
      </c>
      <c r="E16" s="137">
        <v>41531258.25</v>
      </c>
      <c r="F16" s="134">
        <v>41386300.530000016</v>
      </c>
      <c r="G16" s="141">
        <f t="shared" si="0"/>
        <v>144957.7199999839</v>
      </c>
      <c r="H16" s="145">
        <v>10767129.63</v>
      </c>
      <c r="I16" s="146">
        <v>0</v>
      </c>
      <c r="J16" s="34">
        <f t="shared" si="1"/>
        <v>202.766984237585</v>
      </c>
      <c r="K16" s="47">
        <f t="shared" si="2"/>
        <v>0</v>
      </c>
      <c r="L16" s="45">
        <f t="shared" si="3"/>
        <v>25.92536340986009</v>
      </c>
      <c r="M16" s="46">
        <f t="shared" si="4"/>
        <v>0</v>
      </c>
    </row>
    <row r="17" spans="1:13" ht="12.75">
      <c r="A17" s="123" t="s">
        <v>13</v>
      </c>
      <c r="B17" s="120" t="s">
        <v>21</v>
      </c>
      <c r="C17" s="127" t="s">
        <v>149</v>
      </c>
      <c r="D17" s="130">
        <v>56876</v>
      </c>
      <c r="E17" s="137">
        <v>38184154.06000002</v>
      </c>
      <c r="F17" s="134">
        <v>34939175.699999996</v>
      </c>
      <c r="G17" s="141">
        <f t="shared" si="0"/>
        <v>3244978.3600000218</v>
      </c>
      <c r="H17" s="145">
        <v>13150000</v>
      </c>
      <c r="I17" s="146">
        <v>0</v>
      </c>
      <c r="J17" s="34">
        <f t="shared" si="1"/>
        <v>231.2047260707504</v>
      </c>
      <c r="K17" s="47">
        <f t="shared" si="2"/>
        <v>0</v>
      </c>
      <c r="L17" s="45">
        <f t="shared" si="3"/>
        <v>34.43836932811703</v>
      </c>
      <c r="M17" s="46">
        <f t="shared" si="4"/>
        <v>0</v>
      </c>
    </row>
    <row r="18" spans="1:13" ht="12.75">
      <c r="A18" s="123" t="s">
        <v>13</v>
      </c>
      <c r="B18" s="120" t="s">
        <v>150</v>
      </c>
      <c r="C18" s="127" t="s">
        <v>151</v>
      </c>
      <c r="D18" s="130">
        <v>105502</v>
      </c>
      <c r="E18" s="137">
        <v>75770595.66000001</v>
      </c>
      <c r="F18" s="134">
        <v>74141877.56000002</v>
      </c>
      <c r="G18" s="141">
        <f t="shared" si="0"/>
        <v>1628718.099999994</v>
      </c>
      <c r="H18" s="145">
        <v>542331.67</v>
      </c>
      <c r="I18" s="146">
        <v>2331.67</v>
      </c>
      <c r="J18" s="34">
        <f t="shared" si="1"/>
        <v>5.1404870997706205</v>
      </c>
      <c r="K18" s="47">
        <f t="shared" si="2"/>
        <v>0.022100718469792044</v>
      </c>
      <c r="L18" s="45">
        <f t="shared" si="3"/>
        <v>0.7157547928401754</v>
      </c>
      <c r="M18" s="46">
        <f t="shared" si="4"/>
        <v>0.0030772755310816565</v>
      </c>
    </row>
    <row r="19" spans="1:13" ht="12.75">
      <c r="A19" s="123" t="s">
        <v>13</v>
      </c>
      <c r="B19" s="120" t="s">
        <v>23</v>
      </c>
      <c r="C19" s="127" t="s">
        <v>152</v>
      </c>
      <c r="D19" s="130">
        <v>47909</v>
      </c>
      <c r="E19" s="137">
        <v>40929745.84</v>
      </c>
      <c r="F19" s="134">
        <v>43269977.819999985</v>
      </c>
      <c r="G19" s="141">
        <f t="shared" si="0"/>
        <v>-2340231.979999982</v>
      </c>
      <c r="H19" s="145">
        <v>2924500</v>
      </c>
      <c r="I19" s="146">
        <v>0</v>
      </c>
      <c r="J19" s="34">
        <f t="shared" si="1"/>
        <v>61.04281032791334</v>
      </c>
      <c r="K19" s="47">
        <f t="shared" si="2"/>
        <v>0</v>
      </c>
      <c r="L19" s="45">
        <f t="shared" si="3"/>
        <v>7.145170193414521</v>
      </c>
      <c r="M19" s="46">
        <f t="shared" si="4"/>
        <v>0</v>
      </c>
    </row>
    <row r="20" spans="1:13" ht="12.75">
      <c r="A20" s="123" t="s">
        <v>13</v>
      </c>
      <c r="B20" s="120" t="s">
        <v>153</v>
      </c>
      <c r="C20" s="127" t="s">
        <v>154</v>
      </c>
      <c r="D20" s="130">
        <v>36832</v>
      </c>
      <c r="E20" s="137">
        <v>39559302.2</v>
      </c>
      <c r="F20" s="134">
        <v>41477292.86</v>
      </c>
      <c r="G20" s="141">
        <f t="shared" si="0"/>
        <v>-1917990.6599999964</v>
      </c>
      <c r="H20" s="145">
        <v>5012300.21</v>
      </c>
      <c r="I20" s="146">
        <v>5500.21</v>
      </c>
      <c r="J20" s="34">
        <f t="shared" si="1"/>
        <v>136.08547485881843</v>
      </c>
      <c r="K20" s="47">
        <f t="shared" si="2"/>
        <v>0.14933237402258906</v>
      </c>
      <c r="L20" s="45">
        <f t="shared" si="3"/>
        <v>12.670345358114027</v>
      </c>
      <c r="M20" s="46">
        <f t="shared" si="4"/>
        <v>0.013903708341953511</v>
      </c>
    </row>
    <row r="21" spans="1:13" ht="12.75">
      <c r="A21" s="123" t="s">
        <v>13</v>
      </c>
      <c r="B21" s="120" t="s">
        <v>25</v>
      </c>
      <c r="C21" s="127" t="s">
        <v>155</v>
      </c>
      <c r="D21" s="130">
        <v>103338</v>
      </c>
      <c r="E21" s="137">
        <v>75615964.16999997</v>
      </c>
      <c r="F21" s="134">
        <v>80629525.48000017</v>
      </c>
      <c r="G21" s="141">
        <f t="shared" si="0"/>
        <v>-5013561.310000196</v>
      </c>
      <c r="H21" s="145">
        <v>27000927.48</v>
      </c>
      <c r="I21" s="146">
        <v>927.48</v>
      </c>
      <c r="J21" s="34">
        <f t="shared" si="1"/>
        <v>261.28749811298843</v>
      </c>
      <c r="K21" s="47">
        <f t="shared" si="2"/>
        <v>0.008975207571270976</v>
      </c>
      <c r="L21" s="45">
        <f t="shared" si="3"/>
        <v>35.70797222038518</v>
      </c>
      <c r="M21" s="46">
        <f t="shared" si="4"/>
        <v>0.0012265663873766623</v>
      </c>
    </row>
    <row r="22" spans="1:13" ht="12.75">
      <c r="A22" s="123" t="s">
        <v>13</v>
      </c>
      <c r="B22" s="120" t="s">
        <v>156</v>
      </c>
      <c r="C22" s="127" t="s">
        <v>157</v>
      </c>
      <c r="D22" s="130">
        <v>71222</v>
      </c>
      <c r="E22" s="137">
        <v>39029538.53999999</v>
      </c>
      <c r="F22" s="134">
        <v>37018236.300000004</v>
      </c>
      <c r="G22" s="141">
        <f t="shared" si="0"/>
        <v>2011302.2399999872</v>
      </c>
      <c r="H22" s="145">
        <v>2531.48</v>
      </c>
      <c r="I22" s="146">
        <v>2531.48</v>
      </c>
      <c r="J22" s="34">
        <f t="shared" si="1"/>
        <v>0.035543511836230376</v>
      </c>
      <c r="K22" s="47">
        <f t="shared" si="2"/>
        <v>0.035543511836230376</v>
      </c>
      <c r="L22" s="45">
        <f t="shared" si="3"/>
        <v>0.006486061825726113</v>
      </c>
      <c r="M22" s="46">
        <f t="shared" si="4"/>
        <v>0.006486061825726113</v>
      </c>
    </row>
    <row r="23" spans="1:13" ht="12.75">
      <c r="A23" s="123" t="s">
        <v>13</v>
      </c>
      <c r="B23" s="120" t="s">
        <v>27</v>
      </c>
      <c r="C23" s="127" t="s">
        <v>158</v>
      </c>
      <c r="D23" s="130">
        <v>61149</v>
      </c>
      <c r="E23" s="137">
        <v>39706833.81999999</v>
      </c>
      <c r="F23" s="134">
        <v>35028967.08000002</v>
      </c>
      <c r="G23" s="141">
        <f t="shared" si="0"/>
        <v>4677866.739999972</v>
      </c>
      <c r="H23" s="145">
        <v>1202267.18</v>
      </c>
      <c r="I23" s="146">
        <v>2267.18</v>
      </c>
      <c r="J23" s="34">
        <f t="shared" si="1"/>
        <v>19.661272956221687</v>
      </c>
      <c r="K23" s="47">
        <f t="shared" si="2"/>
        <v>0.03707632177141081</v>
      </c>
      <c r="L23" s="45">
        <f t="shared" si="3"/>
        <v>3.0278596008187093</v>
      </c>
      <c r="M23" s="46">
        <f t="shared" si="4"/>
        <v>0.005709797991644553</v>
      </c>
    </row>
    <row r="24" spans="1:13" ht="12.75">
      <c r="A24" s="123" t="s">
        <v>13</v>
      </c>
      <c r="B24" s="120" t="s">
        <v>159</v>
      </c>
      <c r="C24" s="127" t="s">
        <v>160</v>
      </c>
      <c r="D24" s="130">
        <v>44134</v>
      </c>
      <c r="E24" s="137">
        <v>35371371.58000002</v>
      </c>
      <c r="F24" s="134">
        <v>37634080.45999999</v>
      </c>
      <c r="G24" s="141">
        <f t="shared" si="0"/>
        <v>-2262708.879999973</v>
      </c>
      <c r="H24" s="145">
        <v>3932933.68</v>
      </c>
      <c r="I24" s="146">
        <v>141247.46</v>
      </c>
      <c r="J24" s="34">
        <f t="shared" si="1"/>
        <v>89.11346535550823</v>
      </c>
      <c r="K24" s="47">
        <f t="shared" si="2"/>
        <v>3.200422803280917</v>
      </c>
      <c r="L24" s="45">
        <f t="shared" si="3"/>
        <v>11.118974199529747</v>
      </c>
      <c r="M24" s="46">
        <f t="shared" si="4"/>
        <v>0.3993270650546821</v>
      </c>
    </row>
    <row r="25" spans="1:13" ht="12.75">
      <c r="A25" s="123" t="s">
        <v>13</v>
      </c>
      <c r="B25" s="120" t="s">
        <v>29</v>
      </c>
      <c r="C25" s="127" t="s">
        <v>161</v>
      </c>
      <c r="D25" s="130">
        <v>49353</v>
      </c>
      <c r="E25" s="137">
        <v>27341870.060000006</v>
      </c>
      <c r="F25" s="134">
        <v>22290909.290000018</v>
      </c>
      <c r="G25" s="141">
        <f t="shared" si="0"/>
        <v>5050960.769999988</v>
      </c>
      <c r="H25" s="145">
        <v>4650000</v>
      </c>
      <c r="I25" s="146">
        <v>0</v>
      </c>
      <c r="J25" s="34">
        <f t="shared" si="1"/>
        <v>94.21919640143456</v>
      </c>
      <c r="K25" s="47">
        <f t="shared" si="2"/>
        <v>0</v>
      </c>
      <c r="L25" s="45">
        <f t="shared" si="3"/>
        <v>17.006883544526648</v>
      </c>
      <c r="M25" s="46">
        <f t="shared" si="4"/>
        <v>0</v>
      </c>
    </row>
    <row r="26" spans="1:13" ht="12.75">
      <c r="A26" s="123" t="s">
        <v>13</v>
      </c>
      <c r="B26" s="120" t="s">
        <v>162</v>
      </c>
      <c r="C26" s="127" t="s">
        <v>163</v>
      </c>
      <c r="D26" s="130">
        <v>160230</v>
      </c>
      <c r="E26" s="137">
        <v>112780326.78</v>
      </c>
      <c r="F26" s="134">
        <v>115575162.98000002</v>
      </c>
      <c r="G26" s="141">
        <f t="shared" si="0"/>
        <v>-2794836.200000018</v>
      </c>
      <c r="H26" s="145">
        <v>21924000</v>
      </c>
      <c r="I26" s="146">
        <v>0</v>
      </c>
      <c r="J26" s="34">
        <f t="shared" si="1"/>
        <v>136.82830930537352</v>
      </c>
      <c r="K26" s="47">
        <f t="shared" si="2"/>
        <v>0</v>
      </c>
      <c r="L26" s="45">
        <f t="shared" si="3"/>
        <v>19.439560627242226</v>
      </c>
      <c r="M26" s="46">
        <f t="shared" si="4"/>
        <v>0</v>
      </c>
    </row>
    <row r="27" spans="1:13" ht="12.75">
      <c r="A27" s="123" t="s">
        <v>13</v>
      </c>
      <c r="B27" s="120" t="s">
        <v>31</v>
      </c>
      <c r="C27" s="127" t="s">
        <v>164</v>
      </c>
      <c r="D27" s="130">
        <v>77599</v>
      </c>
      <c r="E27" s="137">
        <v>44644153.89</v>
      </c>
      <c r="F27" s="134">
        <v>40822905.04999999</v>
      </c>
      <c r="G27" s="141">
        <f t="shared" si="0"/>
        <v>3821248.840000011</v>
      </c>
      <c r="H27" s="145">
        <v>0</v>
      </c>
      <c r="I27" s="146">
        <v>0</v>
      </c>
      <c r="J27" s="34">
        <f t="shared" si="1"/>
        <v>0</v>
      </c>
      <c r="K27" s="47">
        <f t="shared" si="2"/>
        <v>0</v>
      </c>
      <c r="L27" s="45">
        <f t="shared" si="3"/>
        <v>0</v>
      </c>
      <c r="M27" s="46">
        <f t="shared" si="4"/>
        <v>0</v>
      </c>
    </row>
    <row r="28" spans="1:13" ht="12.75">
      <c r="A28" s="123" t="s">
        <v>13</v>
      </c>
      <c r="B28" s="120" t="s">
        <v>165</v>
      </c>
      <c r="C28" s="127" t="s">
        <v>166</v>
      </c>
      <c r="D28" s="130">
        <v>183689</v>
      </c>
      <c r="E28" s="137">
        <v>111539235.19999994</v>
      </c>
      <c r="F28" s="134">
        <v>117367089.12999995</v>
      </c>
      <c r="G28" s="141">
        <f t="shared" si="0"/>
        <v>-5827853.930000007</v>
      </c>
      <c r="H28" s="145">
        <v>35463912</v>
      </c>
      <c r="I28" s="146">
        <v>0</v>
      </c>
      <c r="J28" s="34">
        <f t="shared" si="1"/>
        <v>193.06497395053597</v>
      </c>
      <c r="K28" s="47">
        <f t="shared" si="2"/>
        <v>0</v>
      </c>
      <c r="L28" s="45">
        <f t="shared" si="3"/>
        <v>31.795010909309173</v>
      </c>
      <c r="M28" s="46">
        <f t="shared" si="4"/>
        <v>0</v>
      </c>
    </row>
    <row r="29" spans="1:13" ht="12.75">
      <c r="A29" s="123" t="s">
        <v>13</v>
      </c>
      <c r="B29" s="120" t="s">
        <v>33</v>
      </c>
      <c r="C29" s="127" t="s">
        <v>167</v>
      </c>
      <c r="D29" s="130">
        <v>47446</v>
      </c>
      <c r="E29" s="137">
        <v>32085730.679999992</v>
      </c>
      <c r="F29" s="134">
        <v>31712934.950000025</v>
      </c>
      <c r="G29" s="141">
        <f t="shared" si="0"/>
        <v>372795.7299999669</v>
      </c>
      <c r="H29" s="145">
        <v>10100000</v>
      </c>
      <c r="I29" s="146">
        <v>0</v>
      </c>
      <c r="J29" s="34">
        <f t="shared" si="1"/>
        <v>212.87358259916536</v>
      </c>
      <c r="K29" s="47">
        <f t="shared" si="2"/>
        <v>0</v>
      </c>
      <c r="L29" s="45">
        <f t="shared" si="3"/>
        <v>31.47816735336383</v>
      </c>
      <c r="M29" s="46">
        <f t="shared" si="4"/>
        <v>0</v>
      </c>
    </row>
    <row r="30" spans="1:13" ht="12.75">
      <c r="A30" s="123" t="s">
        <v>13</v>
      </c>
      <c r="B30" s="120" t="s">
        <v>168</v>
      </c>
      <c r="C30" s="127" t="s">
        <v>169</v>
      </c>
      <c r="D30" s="130">
        <v>103548</v>
      </c>
      <c r="E30" s="137">
        <v>52708933.78000002</v>
      </c>
      <c r="F30" s="134">
        <v>58755168.35999998</v>
      </c>
      <c r="G30" s="141">
        <f t="shared" si="0"/>
        <v>-6046234.5799999535</v>
      </c>
      <c r="H30" s="145">
        <v>2523.55</v>
      </c>
      <c r="I30" s="146">
        <v>2523.55</v>
      </c>
      <c r="J30" s="34">
        <f t="shared" si="1"/>
        <v>0.02437082319310851</v>
      </c>
      <c r="K30" s="47">
        <f t="shared" si="2"/>
        <v>0.02437082319310851</v>
      </c>
      <c r="L30" s="45">
        <f t="shared" si="3"/>
        <v>0.004787708304882351</v>
      </c>
      <c r="M30" s="46">
        <f t="shared" si="4"/>
        <v>0.004787708304882351</v>
      </c>
    </row>
    <row r="31" spans="1:13" ht="12.75">
      <c r="A31" s="123" t="s">
        <v>13</v>
      </c>
      <c r="B31" s="120" t="s">
        <v>35</v>
      </c>
      <c r="C31" s="127" t="s">
        <v>170</v>
      </c>
      <c r="D31" s="130">
        <v>69104</v>
      </c>
      <c r="E31" s="137">
        <v>56141236.15000001</v>
      </c>
      <c r="F31" s="134">
        <v>54221754.56999998</v>
      </c>
      <c r="G31" s="141">
        <f t="shared" si="0"/>
        <v>1919481.5800000355</v>
      </c>
      <c r="H31" s="145">
        <v>18840000</v>
      </c>
      <c r="I31" s="146">
        <v>0</v>
      </c>
      <c r="J31" s="34">
        <f t="shared" si="1"/>
        <v>272.6325538319055</v>
      </c>
      <c r="K31" s="47">
        <f t="shared" si="2"/>
        <v>0</v>
      </c>
      <c r="L31" s="45">
        <f t="shared" si="3"/>
        <v>33.55822082303757</v>
      </c>
      <c r="M31" s="46">
        <f t="shared" si="4"/>
        <v>0</v>
      </c>
    </row>
    <row r="32" spans="1:13" ht="12.75">
      <c r="A32" s="123" t="s">
        <v>13</v>
      </c>
      <c r="B32" s="120" t="s">
        <v>171</v>
      </c>
      <c r="C32" s="127" t="s">
        <v>172</v>
      </c>
      <c r="D32" s="130">
        <v>94122</v>
      </c>
      <c r="E32" s="137">
        <v>60344275.42000001</v>
      </c>
      <c r="F32" s="134">
        <v>57937726.08000006</v>
      </c>
      <c r="G32" s="141">
        <f t="shared" si="0"/>
        <v>2406549.3399999514</v>
      </c>
      <c r="H32" s="145">
        <v>6408262.26</v>
      </c>
      <c r="I32" s="146">
        <v>0</v>
      </c>
      <c r="J32" s="34">
        <f t="shared" si="1"/>
        <v>68.08463759801108</v>
      </c>
      <c r="K32" s="47">
        <f t="shared" si="2"/>
        <v>0</v>
      </c>
      <c r="L32" s="45">
        <f t="shared" si="3"/>
        <v>10.619503201253284</v>
      </c>
      <c r="M32" s="46">
        <f t="shared" si="4"/>
        <v>0</v>
      </c>
    </row>
    <row r="33" spans="1:13" ht="12.75">
      <c r="A33" s="123" t="s">
        <v>13</v>
      </c>
      <c r="B33" s="120" t="s">
        <v>37</v>
      </c>
      <c r="C33" s="127" t="s">
        <v>173</v>
      </c>
      <c r="D33" s="130">
        <v>45641</v>
      </c>
      <c r="E33" s="137">
        <v>42580950.720000006</v>
      </c>
      <c r="F33" s="134">
        <v>44964839.089999996</v>
      </c>
      <c r="G33" s="141">
        <f t="shared" si="0"/>
        <v>-2383888.36999999</v>
      </c>
      <c r="H33" s="145">
        <v>22037954.04</v>
      </c>
      <c r="I33" s="146">
        <v>79786.33</v>
      </c>
      <c r="J33" s="34">
        <f t="shared" si="1"/>
        <v>482.85432045748337</v>
      </c>
      <c r="K33" s="47">
        <f t="shared" si="2"/>
        <v>1.7481284371508075</v>
      </c>
      <c r="L33" s="45">
        <f t="shared" si="3"/>
        <v>51.7554297575815</v>
      </c>
      <c r="M33" s="46">
        <f t="shared" si="4"/>
        <v>0.18737564251360142</v>
      </c>
    </row>
    <row r="34" spans="1:13" ht="12.75">
      <c r="A34" s="123" t="s">
        <v>15</v>
      </c>
      <c r="B34" s="120" t="s">
        <v>135</v>
      </c>
      <c r="C34" s="127" t="s">
        <v>174</v>
      </c>
      <c r="D34" s="130">
        <v>55319</v>
      </c>
      <c r="E34" s="137">
        <v>33434889.209999997</v>
      </c>
      <c r="F34" s="134">
        <v>34210244.470000006</v>
      </c>
      <c r="G34" s="141">
        <f t="shared" si="0"/>
        <v>-775355.2600000091</v>
      </c>
      <c r="H34" s="145">
        <v>5200000</v>
      </c>
      <c r="I34" s="146">
        <v>0</v>
      </c>
      <c r="J34" s="34">
        <f t="shared" si="1"/>
        <v>94.00025307760444</v>
      </c>
      <c r="K34" s="47">
        <f t="shared" si="2"/>
        <v>0</v>
      </c>
      <c r="L34" s="45">
        <f t="shared" si="3"/>
        <v>15.552616212781526</v>
      </c>
      <c r="M34" s="46">
        <f t="shared" si="4"/>
        <v>0</v>
      </c>
    </row>
    <row r="35" spans="1:13" ht="12.75">
      <c r="A35" s="123" t="s">
        <v>15</v>
      </c>
      <c r="B35" s="120" t="s">
        <v>13</v>
      </c>
      <c r="C35" s="127" t="s">
        <v>175</v>
      </c>
      <c r="D35" s="130">
        <v>75084</v>
      </c>
      <c r="E35" s="137">
        <v>47245933.34000001</v>
      </c>
      <c r="F35" s="134">
        <v>45301655.80999999</v>
      </c>
      <c r="G35" s="141">
        <f t="shared" si="0"/>
        <v>1944277.5300000235</v>
      </c>
      <c r="H35" s="145">
        <v>3294412.53</v>
      </c>
      <c r="I35" s="146">
        <v>4412.53</v>
      </c>
      <c r="J35" s="34">
        <f t="shared" si="1"/>
        <v>43.87635887805657</v>
      </c>
      <c r="K35" s="47">
        <f t="shared" si="2"/>
        <v>0.0587679132704704</v>
      </c>
      <c r="L35" s="45">
        <f t="shared" si="3"/>
        <v>6.9729017866831695</v>
      </c>
      <c r="M35" s="46">
        <f t="shared" si="4"/>
        <v>0.009339491651579252</v>
      </c>
    </row>
    <row r="36" spans="1:13" ht="12.75">
      <c r="A36" s="123" t="s">
        <v>15</v>
      </c>
      <c r="B36" s="120" t="s">
        <v>138</v>
      </c>
      <c r="C36" s="127" t="s">
        <v>176</v>
      </c>
      <c r="D36" s="130">
        <v>97031</v>
      </c>
      <c r="E36" s="137">
        <v>39310188.96000001</v>
      </c>
      <c r="F36" s="134">
        <v>36522062.889999986</v>
      </c>
      <c r="G36" s="141">
        <f t="shared" si="0"/>
        <v>2788126.0700000226</v>
      </c>
      <c r="H36" s="145">
        <v>0</v>
      </c>
      <c r="I36" s="146">
        <v>0</v>
      </c>
      <c r="J36" s="34">
        <f t="shared" si="1"/>
        <v>0</v>
      </c>
      <c r="K36" s="47">
        <f t="shared" si="2"/>
        <v>0</v>
      </c>
      <c r="L36" s="45">
        <f t="shared" si="3"/>
        <v>0</v>
      </c>
      <c r="M36" s="46">
        <f t="shared" si="4"/>
        <v>0</v>
      </c>
    </row>
    <row r="37" spans="1:13" ht="12.75">
      <c r="A37" s="123" t="s">
        <v>15</v>
      </c>
      <c r="B37" s="120" t="s">
        <v>15</v>
      </c>
      <c r="C37" s="127" t="s">
        <v>177</v>
      </c>
      <c r="D37" s="130">
        <v>51375</v>
      </c>
      <c r="E37" s="137">
        <v>38571207.67999999</v>
      </c>
      <c r="F37" s="134">
        <v>39377974.63999999</v>
      </c>
      <c r="G37" s="141">
        <f t="shared" si="0"/>
        <v>-806766.9600000009</v>
      </c>
      <c r="H37" s="145">
        <v>223421.3</v>
      </c>
      <c r="I37" s="146">
        <v>0</v>
      </c>
      <c r="J37" s="34">
        <f t="shared" si="1"/>
        <v>4.348833090024331</v>
      </c>
      <c r="K37" s="47">
        <f t="shared" si="2"/>
        <v>0</v>
      </c>
      <c r="L37" s="45">
        <f t="shared" si="3"/>
        <v>0.579243724628951</v>
      </c>
      <c r="M37" s="46">
        <f t="shared" si="4"/>
        <v>0</v>
      </c>
    </row>
    <row r="38" spans="1:13" ht="25.5">
      <c r="A38" s="123" t="s">
        <v>15</v>
      </c>
      <c r="B38" s="120" t="s">
        <v>141</v>
      </c>
      <c r="C38" s="127" t="s">
        <v>178</v>
      </c>
      <c r="D38" s="130">
        <v>45074</v>
      </c>
      <c r="E38" s="137">
        <v>26585087.949999996</v>
      </c>
      <c r="F38" s="134">
        <v>25321349.099999994</v>
      </c>
      <c r="G38" s="141">
        <f t="shared" si="0"/>
        <v>1263738.8500000015</v>
      </c>
      <c r="H38" s="145">
        <v>3608808.46</v>
      </c>
      <c r="I38" s="146">
        <v>2171.91</v>
      </c>
      <c r="J38" s="34">
        <f t="shared" si="1"/>
        <v>80.06408261969206</v>
      </c>
      <c r="K38" s="47">
        <f t="shared" si="2"/>
        <v>0.04818542840662022</v>
      </c>
      <c r="L38" s="45">
        <f t="shared" si="3"/>
        <v>13.57455904147197</v>
      </c>
      <c r="M38" s="46">
        <f t="shared" si="4"/>
        <v>0.008169655124274285</v>
      </c>
    </row>
    <row r="39" spans="1:13" ht="12.75">
      <c r="A39" s="123" t="s">
        <v>15</v>
      </c>
      <c r="B39" s="120" t="s">
        <v>17</v>
      </c>
      <c r="C39" s="127" t="s">
        <v>179</v>
      </c>
      <c r="D39" s="130">
        <v>38427</v>
      </c>
      <c r="E39" s="137">
        <v>13730122.299999999</v>
      </c>
      <c r="F39" s="134">
        <v>12970824.850000005</v>
      </c>
      <c r="G39" s="141">
        <f t="shared" si="0"/>
        <v>759297.4499999937</v>
      </c>
      <c r="H39" s="145">
        <v>2700000</v>
      </c>
      <c r="I39" s="146">
        <v>0</v>
      </c>
      <c r="J39" s="34">
        <f t="shared" si="1"/>
        <v>70.26309626044187</v>
      </c>
      <c r="K39" s="47">
        <f t="shared" si="2"/>
        <v>0</v>
      </c>
      <c r="L39" s="45">
        <f t="shared" si="3"/>
        <v>19.66479206088354</v>
      </c>
      <c r="M39" s="46">
        <f t="shared" si="4"/>
        <v>0</v>
      </c>
    </row>
    <row r="40" spans="1:13" ht="12.75">
      <c r="A40" s="123" t="s">
        <v>15</v>
      </c>
      <c r="B40" s="120" t="s">
        <v>144</v>
      </c>
      <c r="C40" s="127" t="s">
        <v>180</v>
      </c>
      <c r="D40" s="130">
        <v>164943</v>
      </c>
      <c r="E40" s="137">
        <v>103957271.91000003</v>
      </c>
      <c r="F40" s="134">
        <v>100438286.72999996</v>
      </c>
      <c r="G40" s="141">
        <f t="shared" si="0"/>
        <v>3518985.1800000668</v>
      </c>
      <c r="H40" s="145">
        <v>524790</v>
      </c>
      <c r="I40" s="146">
        <v>0</v>
      </c>
      <c r="J40" s="34">
        <f t="shared" si="1"/>
        <v>3.1816445681235335</v>
      </c>
      <c r="K40" s="47">
        <f t="shared" si="2"/>
        <v>0</v>
      </c>
      <c r="L40" s="45">
        <f t="shared" si="3"/>
        <v>0.5048131702170212</v>
      </c>
      <c r="M40" s="46">
        <f t="shared" si="4"/>
        <v>0</v>
      </c>
    </row>
    <row r="41" spans="1:13" ht="12.75">
      <c r="A41" s="123" t="s">
        <v>15</v>
      </c>
      <c r="B41" s="120" t="s">
        <v>19</v>
      </c>
      <c r="C41" s="127" t="s">
        <v>181</v>
      </c>
      <c r="D41" s="130">
        <v>66072</v>
      </c>
      <c r="E41" s="137">
        <v>33338298.32999999</v>
      </c>
      <c r="F41" s="134">
        <v>33862809.52</v>
      </c>
      <c r="G41" s="141">
        <f t="shared" si="0"/>
        <v>-524511.1900000125</v>
      </c>
      <c r="H41" s="145">
        <v>1531956.39</v>
      </c>
      <c r="I41" s="146">
        <v>110807.04</v>
      </c>
      <c r="J41" s="34">
        <f t="shared" si="1"/>
        <v>23.186166454776608</v>
      </c>
      <c r="K41" s="47">
        <f t="shared" si="2"/>
        <v>1.6770650199782056</v>
      </c>
      <c r="L41" s="45">
        <f t="shared" si="3"/>
        <v>4.595184717695819</v>
      </c>
      <c r="M41" s="46">
        <f t="shared" si="4"/>
        <v>0.332371613281439</v>
      </c>
    </row>
    <row r="42" spans="1:13" ht="12.75">
      <c r="A42" s="123" t="s">
        <v>15</v>
      </c>
      <c r="B42" s="120" t="s">
        <v>147</v>
      </c>
      <c r="C42" s="127" t="s">
        <v>182</v>
      </c>
      <c r="D42" s="130">
        <v>46848</v>
      </c>
      <c r="E42" s="137">
        <v>35279309.89000001</v>
      </c>
      <c r="F42" s="134">
        <v>33771811.36</v>
      </c>
      <c r="G42" s="141">
        <f t="shared" si="0"/>
        <v>1507498.5300000086</v>
      </c>
      <c r="H42" s="145">
        <v>579606</v>
      </c>
      <c r="I42" s="146">
        <v>0</v>
      </c>
      <c r="J42" s="34">
        <f t="shared" si="1"/>
        <v>12.372054303278688</v>
      </c>
      <c r="K42" s="47">
        <f t="shared" si="2"/>
        <v>0</v>
      </c>
      <c r="L42" s="45">
        <f t="shared" si="3"/>
        <v>1.642906286452872</v>
      </c>
      <c r="M42" s="46">
        <f t="shared" si="4"/>
        <v>0</v>
      </c>
    </row>
    <row r="43" spans="1:13" ht="12.75">
      <c r="A43" s="123" t="s">
        <v>15</v>
      </c>
      <c r="B43" s="120" t="s">
        <v>21</v>
      </c>
      <c r="C43" s="127" t="s">
        <v>183</v>
      </c>
      <c r="D43" s="130">
        <v>84900</v>
      </c>
      <c r="E43" s="137">
        <v>52693997.960000016</v>
      </c>
      <c r="F43" s="134">
        <v>50348661.69000003</v>
      </c>
      <c r="G43" s="141">
        <f t="shared" si="0"/>
        <v>2345336.2699999884</v>
      </c>
      <c r="H43" s="145">
        <v>11189443</v>
      </c>
      <c r="I43" s="146">
        <v>0</v>
      </c>
      <c r="J43" s="34">
        <f t="shared" si="1"/>
        <v>131.79555948174323</v>
      </c>
      <c r="K43" s="47">
        <f t="shared" si="2"/>
        <v>0</v>
      </c>
      <c r="L43" s="45">
        <f t="shared" si="3"/>
        <v>21.234758099952675</v>
      </c>
      <c r="M43" s="46">
        <f t="shared" si="4"/>
        <v>0</v>
      </c>
    </row>
    <row r="44" spans="1:13" ht="12.75">
      <c r="A44" s="123" t="s">
        <v>15</v>
      </c>
      <c r="B44" s="120" t="s">
        <v>150</v>
      </c>
      <c r="C44" s="127" t="s">
        <v>184</v>
      </c>
      <c r="D44" s="130">
        <v>42169</v>
      </c>
      <c r="E44" s="137">
        <v>28923548.590000004</v>
      </c>
      <c r="F44" s="134">
        <v>28736311.23000002</v>
      </c>
      <c r="G44" s="141">
        <f t="shared" si="0"/>
        <v>187237.3599999845</v>
      </c>
      <c r="H44" s="145">
        <v>377996</v>
      </c>
      <c r="I44" s="146">
        <v>0</v>
      </c>
      <c r="J44" s="34">
        <f t="shared" si="1"/>
        <v>8.963835993265194</v>
      </c>
      <c r="K44" s="47">
        <f t="shared" si="2"/>
        <v>0</v>
      </c>
      <c r="L44" s="45">
        <f t="shared" si="3"/>
        <v>1.3068797517144488</v>
      </c>
      <c r="M44" s="46">
        <f t="shared" si="4"/>
        <v>0</v>
      </c>
    </row>
    <row r="45" spans="1:13" ht="12.75">
      <c r="A45" s="123" t="s">
        <v>15</v>
      </c>
      <c r="B45" s="120" t="s">
        <v>23</v>
      </c>
      <c r="C45" s="127" t="s">
        <v>185</v>
      </c>
      <c r="D45" s="130">
        <v>44264</v>
      </c>
      <c r="E45" s="137">
        <v>28497555.880000003</v>
      </c>
      <c r="F45" s="134">
        <v>26938693.41999999</v>
      </c>
      <c r="G45" s="141">
        <f t="shared" si="0"/>
        <v>1558862.460000012</v>
      </c>
      <c r="H45" s="145">
        <v>666668</v>
      </c>
      <c r="I45" s="146">
        <v>0</v>
      </c>
      <c r="J45" s="34">
        <f t="shared" si="1"/>
        <v>15.061178384240014</v>
      </c>
      <c r="K45" s="47">
        <f t="shared" si="2"/>
        <v>0</v>
      </c>
      <c r="L45" s="45">
        <f t="shared" si="3"/>
        <v>2.3393865874226685</v>
      </c>
      <c r="M45" s="46">
        <f t="shared" si="4"/>
        <v>0</v>
      </c>
    </row>
    <row r="46" spans="1:13" ht="12.75">
      <c r="A46" s="123" t="s">
        <v>15</v>
      </c>
      <c r="B46" s="120" t="s">
        <v>153</v>
      </c>
      <c r="C46" s="127" t="s">
        <v>186</v>
      </c>
      <c r="D46" s="130">
        <v>40982</v>
      </c>
      <c r="E46" s="137">
        <v>31462355.820000008</v>
      </c>
      <c r="F46" s="134">
        <v>33722380.990000024</v>
      </c>
      <c r="G46" s="141">
        <f t="shared" si="0"/>
        <v>-2260025.1700000167</v>
      </c>
      <c r="H46" s="145">
        <v>7720000</v>
      </c>
      <c r="I46" s="146">
        <v>0</v>
      </c>
      <c r="J46" s="34">
        <f t="shared" si="1"/>
        <v>188.37538431506516</v>
      </c>
      <c r="K46" s="47">
        <f t="shared" si="2"/>
        <v>0</v>
      </c>
      <c r="L46" s="45">
        <f t="shared" si="3"/>
        <v>24.537259842101673</v>
      </c>
      <c r="M46" s="46">
        <f t="shared" si="4"/>
        <v>0</v>
      </c>
    </row>
    <row r="47" spans="1:13" ht="12.75">
      <c r="A47" s="123" t="s">
        <v>15</v>
      </c>
      <c r="B47" s="120" t="s">
        <v>25</v>
      </c>
      <c r="C47" s="127" t="s">
        <v>187</v>
      </c>
      <c r="D47" s="130">
        <v>97040</v>
      </c>
      <c r="E47" s="137">
        <v>55335147.89999998</v>
      </c>
      <c r="F47" s="134">
        <v>54080727.66000002</v>
      </c>
      <c r="G47" s="141">
        <f t="shared" si="0"/>
        <v>1254420.2399999648</v>
      </c>
      <c r="H47" s="145">
        <v>11018077.92</v>
      </c>
      <c r="I47" s="146">
        <v>0</v>
      </c>
      <c r="J47" s="34">
        <f t="shared" si="1"/>
        <v>113.54161088211048</v>
      </c>
      <c r="K47" s="47">
        <f t="shared" si="2"/>
        <v>0</v>
      </c>
      <c r="L47" s="45">
        <f t="shared" si="3"/>
        <v>19.911536045609814</v>
      </c>
      <c r="M47" s="46">
        <f t="shared" si="4"/>
        <v>0</v>
      </c>
    </row>
    <row r="48" spans="1:13" ht="12.75">
      <c r="A48" s="123" t="s">
        <v>15</v>
      </c>
      <c r="B48" s="120" t="s">
        <v>156</v>
      </c>
      <c r="C48" s="127" t="s">
        <v>188</v>
      </c>
      <c r="D48" s="130">
        <v>90456</v>
      </c>
      <c r="E48" s="137">
        <v>51231462.879999995</v>
      </c>
      <c r="F48" s="134">
        <v>50559723.129999995</v>
      </c>
      <c r="G48" s="141">
        <f t="shared" si="0"/>
        <v>671739.75</v>
      </c>
      <c r="H48" s="145">
        <v>4879158.01</v>
      </c>
      <c r="I48" s="146">
        <v>0</v>
      </c>
      <c r="J48" s="34">
        <f t="shared" si="1"/>
        <v>53.93957294154064</v>
      </c>
      <c r="K48" s="47">
        <f t="shared" si="2"/>
        <v>0</v>
      </c>
      <c r="L48" s="45">
        <f t="shared" si="3"/>
        <v>9.523753052745153</v>
      </c>
      <c r="M48" s="46">
        <f t="shared" si="4"/>
        <v>0</v>
      </c>
    </row>
    <row r="49" spans="1:13" ht="12.75">
      <c r="A49" s="123" t="s">
        <v>15</v>
      </c>
      <c r="B49" s="120" t="s">
        <v>27</v>
      </c>
      <c r="C49" s="127" t="s">
        <v>189</v>
      </c>
      <c r="D49" s="130">
        <v>47298</v>
      </c>
      <c r="E49" s="137">
        <v>42537735.650000006</v>
      </c>
      <c r="F49" s="134">
        <v>43144425.60000004</v>
      </c>
      <c r="G49" s="141">
        <f t="shared" si="0"/>
        <v>-606689.9500000328</v>
      </c>
      <c r="H49" s="145">
        <v>6099999.96</v>
      </c>
      <c r="I49" s="146">
        <v>0</v>
      </c>
      <c r="J49" s="34">
        <f t="shared" si="1"/>
        <v>128.96951160725612</v>
      </c>
      <c r="K49" s="47">
        <f t="shared" si="2"/>
        <v>0</v>
      </c>
      <c r="L49" s="45">
        <f t="shared" si="3"/>
        <v>14.340208445016275</v>
      </c>
      <c r="M49" s="46">
        <f t="shared" si="4"/>
        <v>0</v>
      </c>
    </row>
    <row r="50" spans="1:13" ht="12.75">
      <c r="A50" s="123" t="s">
        <v>15</v>
      </c>
      <c r="B50" s="120" t="s">
        <v>159</v>
      </c>
      <c r="C50" s="127" t="s">
        <v>190</v>
      </c>
      <c r="D50" s="130">
        <v>34869</v>
      </c>
      <c r="E50" s="137">
        <v>22320776.630000006</v>
      </c>
      <c r="F50" s="134">
        <v>23172900.92999999</v>
      </c>
      <c r="G50" s="141">
        <f t="shared" si="0"/>
        <v>-852124.2999999821</v>
      </c>
      <c r="H50" s="145">
        <v>11537004.02</v>
      </c>
      <c r="I50" s="146">
        <v>0</v>
      </c>
      <c r="J50" s="34">
        <f t="shared" si="1"/>
        <v>330.86707447876336</v>
      </c>
      <c r="K50" s="47">
        <f t="shared" si="2"/>
        <v>0</v>
      </c>
      <c r="L50" s="45">
        <f t="shared" si="3"/>
        <v>51.68728763896956</v>
      </c>
      <c r="M50" s="46">
        <f t="shared" si="4"/>
        <v>0</v>
      </c>
    </row>
    <row r="51" spans="1:13" ht="12.75">
      <c r="A51" s="123" t="s">
        <v>15</v>
      </c>
      <c r="B51" s="120" t="s">
        <v>29</v>
      </c>
      <c r="C51" s="127" t="s">
        <v>191</v>
      </c>
      <c r="D51" s="130">
        <v>85308</v>
      </c>
      <c r="E51" s="137">
        <v>44650678.68000001</v>
      </c>
      <c r="F51" s="134">
        <v>42247721.81999997</v>
      </c>
      <c r="G51" s="141">
        <f t="shared" si="0"/>
        <v>2402956.8600000367</v>
      </c>
      <c r="H51" s="145">
        <v>0</v>
      </c>
      <c r="I51" s="146">
        <v>0</v>
      </c>
      <c r="J51" s="34">
        <f t="shared" si="1"/>
        <v>0</v>
      </c>
      <c r="K51" s="47">
        <f t="shared" si="2"/>
        <v>0</v>
      </c>
      <c r="L51" s="45">
        <f t="shared" si="3"/>
        <v>0</v>
      </c>
      <c r="M51" s="46">
        <f t="shared" si="4"/>
        <v>0</v>
      </c>
    </row>
    <row r="52" spans="1:13" ht="12.75">
      <c r="A52" s="123" t="s">
        <v>15</v>
      </c>
      <c r="B52" s="120" t="s">
        <v>162</v>
      </c>
      <c r="C52" s="127" t="s">
        <v>192</v>
      </c>
      <c r="D52" s="130">
        <v>69754</v>
      </c>
      <c r="E52" s="137">
        <v>45540197.25000001</v>
      </c>
      <c r="F52" s="134">
        <v>42875485.630000025</v>
      </c>
      <c r="G52" s="141">
        <f t="shared" si="0"/>
        <v>2664711.6199999824</v>
      </c>
      <c r="H52" s="145">
        <v>8592495.76</v>
      </c>
      <c r="I52" s="146">
        <v>0</v>
      </c>
      <c r="J52" s="34">
        <f t="shared" si="1"/>
        <v>123.18283912033718</v>
      </c>
      <c r="K52" s="47">
        <f t="shared" si="2"/>
        <v>0</v>
      </c>
      <c r="L52" s="45">
        <f t="shared" si="3"/>
        <v>18.867937072890033</v>
      </c>
      <c r="M52" s="46">
        <f t="shared" si="4"/>
        <v>0</v>
      </c>
    </row>
    <row r="53" spans="1:13" ht="12.75">
      <c r="A53" s="123" t="s">
        <v>17</v>
      </c>
      <c r="B53" s="120" t="s">
        <v>135</v>
      </c>
      <c r="C53" s="127" t="s">
        <v>193</v>
      </c>
      <c r="D53" s="130">
        <v>113808</v>
      </c>
      <c r="E53" s="137">
        <v>66242650.49999999</v>
      </c>
      <c r="F53" s="134">
        <v>68092729.29999998</v>
      </c>
      <c r="G53" s="141">
        <f t="shared" si="0"/>
        <v>-1850078.7999999896</v>
      </c>
      <c r="H53" s="145">
        <v>8378417</v>
      </c>
      <c r="I53" s="146">
        <v>0</v>
      </c>
      <c r="J53" s="34">
        <f t="shared" si="1"/>
        <v>73.61887565021792</v>
      </c>
      <c r="K53" s="47">
        <f t="shared" si="2"/>
        <v>0</v>
      </c>
      <c r="L53" s="45">
        <f t="shared" si="3"/>
        <v>12.648070294228338</v>
      </c>
      <c r="M53" s="46">
        <f t="shared" si="4"/>
        <v>0</v>
      </c>
    </row>
    <row r="54" spans="1:13" ht="12.75">
      <c r="A54" s="123" t="s">
        <v>17</v>
      </c>
      <c r="B54" s="120" t="s">
        <v>13</v>
      </c>
      <c r="C54" s="127" t="s">
        <v>194</v>
      </c>
      <c r="D54" s="130">
        <v>104001</v>
      </c>
      <c r="E54" s="137">
        <v>67910400.42999999</v>
      </c>
      <c r="F54" s="134">
        <v>67899524.82000001</v>
      </c>
      <c r="G54" s="141">
        <f t="shared" si="0"/>
        <v>10875.609999984503</v>
      </c>
      <c r="H54" s="145">
        <v>3107364</v>
      </c>
      <c r="I54" s="146">
        <v>0</v>
      </c>
      <c r="J54" s="34">
        <f t="shared" si="1"/>
        <v>29.878212709493177</v>
      </c>
      <c r="K54" s="47">
        <f t="shared" si="2"/>
        <v>0</v>
      </c>
      <c r="L54" s="45">
        <f t="shared" si="3"/>
        <v>4.57568204623234</v>
      </c>
      <c r="M54" s="46">
        <f t="shared" si="4"/>
        <v>0</v>
      </c>
    </row>
    <row r="55" spans="1:13" ht="12.75">
      <c r="A55" s="123" t="s">
        <v>17</v>
      </c>
      <c r="B55" s="120" t="s">
        <v>138</v>
      </c>
      <c r="C55" s="127" t="s">
        <v>195</v>
      </c>
      <c r="D55" s="130">
        <v>79829</v>
      </c>
      <c r="E55" s="137">
        <v>39083305.81</v>
      </c>
      <c r="F55" s="134">
        <v>36446343.060000025</v>
      </c>
      <c r="G55" s="141">
        <f t="shared" si="0"/>
        <v>2636962.7499999776</v>
      </c>
      <c r="H55" s="145">
        <v>1125000</v>
      </c>
      <c r="I55" s="146">
        <v>0</v>
      </c>
      <c r="J55" s="34">
        <f t="shared" si="1"/>
        <v>14.09262298162322</v>
      </c>
      <c r="K55" s="47">
        <f t="shared" si="2"/>
        <v>0</v>
      </c>
      <c r="L55" s="45">
        <f t="shared" si="3"/>
        <v>2.878466845842281</v>
      </c>
      <c r="M55" s="46">
        <f t="shared" si="4"/>
        <v>0</v>
      </c>
    </row>
    <row r="56" spans="1:13" ht="12.75">
      <c r="A56" s="123" t="s">
        <v>17</v>
      </c>
      <c r="B56" s="120" t="s">
        <v>15</v>
      </c>
      <c r="C56" s="127" t="s">
        <v>196</v>
      </c>
      <c r="D56" s="130">
        <v>68398</v>
      </c>
      <c r="E56" s="137">
        <v>36912073.56999998</v>
      </c>
      <c r="F56" s="134">
        <v>36764818.249999985</v>
      </c>
      <c r="G56" s="141">
        <f t="shared" si="0"/>
        <v>147255.31999999285</v>
      </c>
      <c r="H56" s="145">
        <v>1171070.79</v>
      </c>
      <c r="I56" s="146">
        <v>0</v>
      </c>
      <c r="J56" s="34">
        <f t="shared" si="1"/>
        <v>17.12141860873125</v>
      </c>
      <c r="K56" s="47">
        <f t="shared" si="2"/>
        <v>0</v>
      </c>
      <c r="L56" s="45">
        <f t="shared" si="3"/>
        <v>3.1725955134413777</v>
      </c>
      <c r="M56" s="46">
        <f t="shared" si="4"/>
        <v>0</v>
      </c>
    </row>
    <row r="57" spans="1:13" ht="12.75">
      <c r="A57" s="123" t="s">
        <v>17</v>
      </c>
      <c r="B57" s="120" t="s">
        <v>141</v>
      </c>
      <c r="C57" s="127" t="s">
        <v>197</v>
      </c>
      <c r="D57" s="130">
        <v>47813</v>
      </c>
      <c r="E57" s="137">
        <v>29573935.590000007</v>
      </c>
      <c r="F57" s="134">
        <v>30802069.719999988</v>
      </c>
      <c r="G57" s="141">
        <f t="shared" si="0"/>
        <v>-1228134.1299999803</v>
      </c>
      <c r="H57" s="145">
        <v>4522666.85</v>
      </c>
      <c r="I57" s="146">
        <v>2666.85</v>
      </c>
      <c r="J57" s="34">
        <f t="shared" si="1"/>
        <v>94.5907357831552</v>
      </c>
      <c r="K57" s="47">
        <f t="shared" si="2"/>
        <v>0.05577667161650597</v>
      </c>
      <c r="L57" s="45">
        <f t="shared" si="3"/>
        <v>15.29274599329713</v>
      </c>
      <c r="M57" s="46">
        <f t="shared" si="4"/>
        <v>0.00901756883822306</v>
      </c>
    </row>
    <row r="58" spans="1:13" ht="12.75">
      <c r="A58" s="123" t="s">
        <v>17</v>
      </c>
      <c r="B58" s="120" t="s">
        <v>17</v>
      </c>
      <c r="C58" s="127" t="s">
        <v>198</v>
      </c>
      <c r="D58" s="130">
        <v>68995</v>
      </c>
      <c r="E58" s="137">
        <v>55318091.499999985</v>
      </c>
      <c r="F58" s="134">
        <v>56199806.50000002</v>
      </c>
      <c r="G58" s="141">
        <f t="shared" si="0"/>
        <v>-881715.0000000373</v>
      </c>
      <c r="H58" s="145">
        <v>16325352.54</v>
      </c>
      <c r="I58" s="146">
        <v>59.54</v>
      </c>
      <c r="J58" s="34">
        <f t="shared" si="1"/>
        <v>236.61645829407928</v>
      </c>
      <c r="K58" s="47">
        <f t="shared" si="2"/>
        <v>0.0008629610841365316</v>
      </c>
      <c r="L58" s="45">
        <f t="shared" si="3"/>
        <v>29.511778330241206</v>
      </c>
      <c r="M58" s="46">
        <f t="shared" si="4"/>
        <v>0.00010763205740747583</v>
      </c>
    </row>
    <row r="59" spans="1:13" ht="12.75">
      <c r="A59" s="123" t="s">
        <v>17</v>
      </c>
      <c r="B59" s="120" t="s">
        <v>144</v>
      </c>
      <c r="C59" s="127" t="s">
        <v>199</v>
      </c>
      <c r="D59" s="130">
        <v>99531</v>
      </c>
      <c r="E59" s="137">
        <v>58395206.540000014</v>
      </c>
      <c r="F59" s="134">
        <v>62449175.549999975</v>
      </c>
      <c r="G59" s="141">
        <f t="shared" si="0"/>
        <v>-4053969.0099999607</v>
      </c>
      <c r="H59" s="145">
        <v>11346812</v>
      </c>
      <c r="I59" s="146">
        <v>0</v>
      </c>
      <c r="J59" s="34">
        <f t="shared" si="1"/>
        <v>114.0027930996373</v>
      </c>
      <c r="K59" s="47">
        <f t="shared" si="2"/>
        <v>0</v>
      </c>
      <c r="L59" s="45">
        <f t="shared" si="3"/>
        <v>19.431067500767497</v>
      </c>
      <c r="M59" s="46">
        <f t="shared" si="4"/>
        <v>0</v>
      </c>
    </row>
    <row r="60" spans="1:13" ht="12.75">
      <c r="A60" s="123" t="s">
        <v>17</v>
      </c>
      <c r="B60" s="120" t="s">
        <v>19</v>
      </c>
      <c r="C60" s="127" t="s">
        <v>200</v>
      </c>
      <c r="D60" s="130">
        <v>90385</v>
      </c>
      <c r="E60" s="137">
        <v>48527052.80999999</v>
      </c>
      <c r="F60" s="134">
        <v>47278151.25999997</v>
      </c>
      <c r="G60" s="141">
        <f t="shared" si="0"/>
        <v>1248901.5500000194</v>
      </c>
      <c r="H60" s="145">
        <v>11357318.98</v>
      </c>
      <c r="I60" s="146">
        <v>0</v>
      </c>
      <c r="J60" s="34">
        <f t="shared" si="1"/>
        <v>125.65490933230072</v>
      </c>
      <c r="K60" s="47">
        <f t="shared" si="2"/>
        <v>0</v>
      </c>
      <c r="L60" s="45">
        <f t="shared" si="3"/>
        <v>23.404097966690436</v>
      </c>
      <c r="M60" s="46">
        <f t="shared" si="4"/>
        <v>0</v>
      </c>
    </row>
    <row r="61" spans="1:13" ht="12.75">
      <c r="A61" s="123" t="s">
        <v>17</v>
      </c>
      <c r="B61" s="120" t="s">
        <v>147</v>
      </c>
      <c r="C61" s="127" t="s">
        <v>201</v>
      </c>
      <c r="D61" s="130">
        <v>141311</v>
      </c>
      <c r="E61" s="137">
        <v>92315314.02999999</v>
      </c>
      <c r="F61" s="134">
        <v>93720150.65</v>
      </c>
      <c r="G61" s="141">
        <f t="shared" si="0"/>
        <v>-1404836.6200000197</v>
      </c>
      <c r="H61" s="145">
        <v>28055909.47</v>
      </c>
      <c r="I61" s="146">
        <v>0</v>
      </c>
      <c r="J61" s="34">
        <f t="shared" si="1"/>
        <v>198.5401665121611</v>
      </c>
      <c r="K61" s="47">
        <f t="shared" si="2"/>
        <v>0</v>
      </c>
      <c r="L61" s="45">
        <f t="shared" si="3"/>
        <v>30.39139254932566</v>
      </c>
      <c r="M61" s="46">
        <f t="shared" si="4"/>
        <v>0</v>
      </c>
    </row>
    <row r="62" spans="1:13" ht="12.75">
      <c r="A62" s="123" t="s">
        <v>17</v>
      </c>
      <c r="B62" s="120" t="s">
        <v>21</v>
      </c>
      <c r="C62" s="127" t="s">
        <v>202</v>
      </c>
      <c r="D62" s="130">
        <v>57240</v>
      </c>
      <c r="E62" s="137">
        <v>37468626.580000006</v>
      </c>
      <c r="F62" s="134">
        <v>39405761.19999996</v>
      </c>
      <c r="G62" s="141">
        <f t="shared" si="0"/>
        <v>-1937134.6199999526</v>
      </c>
      <c r="H62" s="145">
        <v>7622052.1</v>
      </c>
      <c r="I62" s="146">
        <v>0.1</v>
      </c>
      <c r="J62" s="34">
        <f t="shared" si="1"/>
        <v>133.15954053109712</v>
      </c>
      <c r="K62" s="47">
        <f t="shared" si="2"/>
        <v>1.7470300489168415E-06</v>
      </c>
      <c r="L62" s="45">
        <f t="shared" si="3"/>
        <v>20.342491293952303</v>
      </c>
      <c r="M62" s="46">
        <f t="shared" si="4"/>
        <v>2.668899533493389E-07</v>
      </c>
    </row>
    <row r="63" spans="1:13" ht="12.75">
      <c r="A63" s="123" t="s">
        <v>17</v>
      </c>
      <c r="B63" s="120" t="s">
        <v>150</v>
      </c>
      <c r="C63" s="127" t="s">
        <v>203</v>
      </c>
      <c r="D63" s="130">
        <v>108340</v>
      </c>
      <c r="E63" s="137">
        <v>74645954.40000004</v>
      </c>
      <c r="F63" s="134">
        <v>65443236.13000003</v>
      </c>
      <c r="G63" s="141">
        <f t="shared" si="0"/>
        <v>9202718.270000003</v>
      </c>
      <c r="H63" s="145">
        <v>17971047.79</v>
      </c>
      <c r="I63" s="146">
        <v>0</v>
      </c>
      <c r="J63" s="34">
        <f t="shared" si="1"/>
        <v>165.8763872069411</v>
      </c>
      <c r="K63" s="47">
        <f t="shared" si="2"/>
        <v>0</v>
      </c>
      <c r="L63" s="45">
        <f t="shared" si="3"/>
        <v>24.07504590764532</v>
      </c>
      <c r="M63" s="46">
        <f t="shared" si="4"/>
        <v>0</v>
      </c>
    </row>
    <row r="64" spans="1:13" ht="12.75">
      <c r="A64" s="123" t="s">
        <v>17</v>
      </c>
      <c r="B64" s="120" t="s">
        <v>23</v>
      </c>
      <c r="C64" s="127" t="s">
        <v>204</v>
      </c>
      <c r="D64" s="130">
        <v>62956</v>
      </c>
      <c r="E64" s="137">
        <v>33869012.71</v>
      </c>
      <c r="F64" s="134">
        <v>32614968.720000017</v>
      </c>
      <c r="G64" s="141">
        <f t="shared" si="0"/>
        <v>1254043.9899999835</v>
      </c>
      <c r="H64" s="145">
        <v>5361672</v>
      </c>
      <c r="I64" s="146">
        <v>0</v>
      </c>
      <c r="J64" s="34">
        <f t="shared" si="1"/>
        <v>85.16538534849737</v>
      </c>
      <c r="K64" s="47">
        <f t="shared" si="2"/>
        <v>0</v>
      </c>
      <c r="L64" s="45">
        <f t="shared" si="3"/>
        <v>15.830612028489801</v>
      </c>
      <c r="M64" s="46">
        <f t="shared" si="4"/>
        <v>0</v>
      </c>
    </row>
    <row r="65" spans="1:13" ht="12.75">
      <c r="A65" s="123" t="s">
        <v>17</v>
      </c>
      <c r="B65" s="120" t="s">
        <v>153</v>
      </c>
      <c r="C65" s="127" t="s">
        <v>205</v>
      </c>
      <c r="D65" s="130">
        <v>36466</v>
      </c>
      <c r="E65" s="137">
        <v>23585460.759999998</v>
      </c>
      <c r="F65" s="134">
        <v>23755899.27</v>
      </c>
      <c r="G65" s="141">
        <f t="shared" si="0"/>
        <v>-170438.51000000164</v>
      </c>
      <c r="H65" s="145">
        <v>9626376.14</v>
      </c>
      <c r="I65" s="146">
        <v>0</v>
      </c>
      <c r="J65" s="34">
        <f t="shared" si="1"/>
        <v>263.9822338616794</v>
      </c>
      <c r="K65" s="47">
        <f t="shared" si="2"/>
        <v>0</v>
      </c>
      <c r="L65" s="45">
        <f t="shared" si="3"/>
        <v>40.81487420557817</v>
      </c>
      <c r="M65" s="46">
        <f t="shared" si="4"/>
        <v>0</v>
      </c>
    </row>
    <row r="66" spans="1:13" ht="12.75">
      <c r="A66" s="123" t="s">
        <v>17</v>
      </c>
      <c r="B66" s="120" t="s">
        <v>25</v>
      </c>
      <c r="C66" s="127" t="s">
        <v>206</v>
      </c>
      <c r="D66" s="130">
        <v>116663</v>
      </c>
      <c r="E66" s="137">
        <v>76463590.42000006</v>
      </c>
      <c r="F66" s="134">
        <v>74888064.76</v>
      </c>
      <c r="G66" s="141">
        <f t="shared" si="0"/>
        <v>1575525.660000056</v>
      </c>
      <c r="H66" s="145">
        <v>927923.47</v>
      </c>
      <c r="I66" s="146">
        <v>62</v>
      </c>
      <c r="J66" s="34">
        <f t="shared" si="1"/>
        <v>7.9538797219341175</v>
      </c>
      <c r="K66" s="47">
        <f t="shared" si="2"/>
        <v>0.0005314452739943256</v>
      </c>
      <c r="L66" s="45">
        <f t="shared" si="3"/>
        <v>1.2135494356243168</v>
      </c>
      <c r="M66" s="46">
        <f t="shared" si="4"/>
        <v>8.108434309642761E-05</v>
      </c>
    </row>
    <row r="67" spans="1:13" ht="12.75">
      <c r="A67" s="123" t="s">
        <v>17</v>
      </c>
      <c r="B67" s="120" t="s">
        <v>156</v>
      </c>
      <c r="C67" s="127" t="s">
        <v>207</v>
      </c>
      <c r="D67" s="130">
        <v>61267</v>
      </c>
      <c r="E67" s="137">
        <v>33279886.580000006</v>
      </c>
      <c r="F67" s="134">
        <v>37332416.20999999</v>
      </c>
      <c r="G67" s="141">
        <f t="shared" si="0"/>
        <v>-4052529.629999988</v>
      </c>
      <c r="H67" s="145">
        <v>13046301</v>
      </c>
      <c r="I67" s="146">
        <v>0</v>
      </c>
      <c r="J67" s="34">
        <f t="shared" si="1"/>
        <v>212.94173045848498</v>
      </c>
      <c r="K67" s="47">
        <f t="shared" si="2"/>
        <v>0</v>
      </c>
      <c r="L67" s="45">
        <f t="shared" si="3"/>
        <v>39.201759202630065</v>
      </c>
      <c r="M67" s="46">
        <f t="shared" si="4"/>
        <v>0</v>
      </c>
    </row>
    <row r="68" spans="1:13" ht="12.75">
      <c r="A68" s="123" t="s">
        <v>17</v>
      </c>
      <c r="B68" s="120" t="s">
        <v>27</v>
      </c>
      <c r="C68" s="127" t="s">
        <v>208</v>
      </c>
      <c r="D68" s="130">
        <v>59151</v>
      </c>
      <c r="E68" s="137">
        <v>40563881.86</v>
      </c>
      <c r="F68" s="134">
        <v>36267977.219999984</v>
      </c>
      <c r="G68" s="141">
        <f t="shared" si="0"/>
        <v>4295904.6400000155</v>
      </c>
      <c r="H68" s="145">
        <v>5477751.34</v>
      </c>
      <c r="I68" s="146">
        <v>0</v>
      </c>
      <c r="J68" s="34">
        <f t="shared" si="1"/>
        <v>92.60623387601224</v>
      </c>
      <c r="K68" s="47">
        <f t="shared" si="2"/>
        <v>0</v>
      </c>
      <c r="L68" s="45">
        <f t="shared" si="3"/>
        <v>13.504011669557702</v>
      </c>
      <c r="M68" s="46">
        <f t="shared" si="4"/>
        <v>0</v>
      </c>
    </row>
    <row r="69" spans="1:13" ht="12.75">
      <c r="A69" s="123" t="s">
        <v>17</v>
      </c>
      <c r="B69" s="120" t="s">
        <v>159</v>
      </c>
      <c r="C69" s="127" t="s">
        <v>163</v>
      </c>
      <c r="D69" s="130">
        <v>72354</v>
      </c>
      <c r="E69" s="137">
        <v>44897725.12000001</v>
      </c>
      <c r="F69" s="134">
        <v>44069491.050000034</v>
      </c>
      <c r="G69" s="141">
        <f t="shared" si="0"/>
        <v>828234.069999978</v>
      </c>
      <c r="H69" s="145">
        <v>800000</v>
      </c>
      <c r="I69" s="146">
        <v>0</v>
      </c>
      <c r="J69" s="34">
        <f t="shared" si="1"/>
        <v>11.056748763026231</v>
      </c>
      <c r="K69" s="47">
        <f t="shared" si="2"/>
        <v>0</v>
      </c>
      <c r="L69" s="45">
        <f t="shared" si="3"/>
        <v>1.7818274709059463</v>
      </c>
      <c r="M69" s="46">
        <f t="shared" si="4"/>
        <v>0</v>
      </c>
    </row>
    <row r="70" spans="1:13" ht="12.75">
      <c r="A70" s="123" t="s">
        <v>17</v>
      </c>
      <c r="B70" s="120" t="s">
        <v>29</v>
      </c>
      <c r="C70" s="127" t="s">
        <v>209</v>
      </c>
      <c r="D70" s="130">
        <v>88199</v>
      </c>
      <c r="E70" s="137">
        <v>56599999.59000001</v>
      </c>
      <c r="F70" s="134">
        <v>57681059.03000002</v>
      </c>
      <c r="G70" s="141">
        <f t="shared" si="0"/>
        <v>-1081059.4400000125</v>
      </c>
      <c r="H70" s="145">
        <v>3981968.44</v>
      </c>
      <c r="I70" s="146">
        <v>145503.22</v>
      </c>
      <c r="J70" s="34">
        <f t="shared" si="1"/>
        <v>45.14754634406286</v>
      </c>
      <c r="K70" s="47">
        <f t="shared" si="2"/>
        <v>1.64971507613465</v>
      </c>
      <c r="L70" s="45">
        <f t="shared" si="3"/>
        <v>7.035279980290896</v>
      </c>
      <c r="M70" s="46">
        <f t="shared" si="4"/>
        <v>0.25707282871731196</v>
      </c>
    </row>
    <row r="71" spans="1:13" ht="12.75">
      <c r="A71" s="123" t="s">
        <v>17</v>
      </c>
      <c r="B71" s="120" t="s">
        <v>162</v>
      </c>
      <c r="C71" s="127" t="s">
        <v>210</v>
      </c>
      <c r="D71" s="130">
        <v>40071</v>
      </c>
      <c r="E71" s="137">
        <v>31783924.429999996</v>
      </c>
      <c r="F71" s="134">
        <v>33396690.459999997</v>
      </c>
      <c r="G71" s="141">
        <f t="shared" si="0"/>
        <v>-1612766.0300000012</v>
      </c>
      <c r="H71" s="145">
        <v>8274245.15</v>
      </c>
      <c r="I71" s="146">
        <v>0</v>
      </c>
      <c r="J71" s="34">
        <f t="shared" si="1"/>
        <v>206.48960969279528</v>
      </c>
      <c r="K71" s="47">
        <f t="shared" si="2"/>
        <v>0</v>
      </c>
      <c r="L71" s="45">
        <f t="shared" si="3"/>
        <v>26.03279896484451</v>
      </c>
      <c r="M71" s="46">
        <f t="shared" si="4"/>
        <v>0</v>
      </c>
    </row>
    <row r="72" spans="1:13" ht="12.75">
      <c r="A72" s="123" t="s">
        <v>17</v>
      </c>
      <c r="B72" s="120" t="s">
        <v>31</v>
      </c>
      <c r="C72" s="127" t="s">
        <v>211</v>
      </c>
      <c r="D72" s="130">
        <v>110036</v>
      </c>
      <c r="E72" s="137">
        <v>37966170.75000001</v>
      </c>
      <c r="F72" s="134">
        <v>38243798.029999994</v>
      </c>
      <c r="G72" s="141">
        <f aca="true" t="shared" si="5" ref="G72:G135">E72-F72</f>
        <v>-277627.2799999863</v>
      </c>
      <c r="H72" s="145">
        <v>2775545.45</v>
      </c>
      <c r="I72" s="146">
        <v>0</v>
      </c>
      <c r="J72" s="34">
        <f aca="true" t="shared" si="6" ref="J72:J135">H72/D72</f>
        <v>25.223976244138285</v>
      </c>
      <c r="K72" s="47">
        <f aca="true" t="shared" si="7" ref="K72:K135">I72/D72</f>
        <v>0</v>
      </c>
      <c r="L72" s="45">
        <f aca="true" t="shared" si="8" ref="L72:L135">H72/E72*100</f>
        <v>7.310575165129077</v>
      </c>
      <c r="M72" s="46">
        <f aca="true" t="shared" si="9" ref="M72:M135">I72/E72*100</f>
        <v>0</v>
      </c>
    </row>
    <row r="73" spans="1:13" ht="12.75">
      <c r="A73" s="123" t="s">
        <v>19</v>
      </c>
      <c r="B73" s="120" t="s">
        <v>135</v>
      </c>
      <c r="C73" s="127" t="s">
        <v>212</v>
      </c>
      <c r="D73" s="130">
        <v>65723</v>
      </c>
      <c r="E73" s="137">
        <v>33424241.46999999</v>
      </c>
      <c r="F73" s="134">
        <v>33865319.67</v>
      </c>
      <c r="G73" s="141">
        <f t="shared" si="5"/>
        <v>-441078.20000001043</v>
      </c>
      <c r="H73" s="145">
        <v>17950037.5</v>
      </c>
      <c r="I73" s="146">
        <v>37.5</v>
      </c>
      <c r="J73" s="34">
        <f t="shared" si="6"/>
        <v>273.116526938819</v>
      </c>
      <c r="K73" s="47">
        <f t="shared" si="7"/>
        <v>0.0005705765105062155</v>
      </c>
      <c r="L73" s="45">
        <f t="shared" si="8"/>
        <v>53.70364953864727</v>
      </c>
      <c r="M73" s="46">
        <f t="shared" si="9"/>
        <v>0.00011219401952220281</v>
      </c>
    </row>
    <row r="74" spans="1:13" ht="12.75">
      <c r="A74" s="123" t="s">
        <v>19</v>
      </c>
      <c r="B74" s="120" t="s">
        <v>13</v>
      </c>
      <c r="C74" s="127" t="s">
        <v>213</v>
      </c>
      <c r="D74" s="130">
        <v>56325</v>
      </c>
      <c r="E74" s="137">
        <v>41805238.06</v>
      </c>
      <c r="F74" s="134">
        <v>46055691.339999996</v>
      </c>
      <c r="G74" s="141">
        <f t="shared" si="5"/>
        <v>-4250453.279999994</v>
      </c>
      <c r="H74" s="145">
        <v>14431135.35</v>
      </c>
      <c r="I74" s="146">
        <v>0</v>
      </c>
      <c r="J74" s="34">
        <f t="shared" si="6"/>
        <v>256.2119014647137</v>
      </c>
      <c r="K74" s="47">
        <f t="shared" si="7"/>
        <v>0</v>
      </c>
      <c r="L74" s="45">
        <f t="shared" si="8"/>
        <v>34.519921473208804</v>
      </c>
      <c r="M74" s="46">
        <f t="shared" si="9"/>
        <v>0</v>
      </c>
    </row>
    <row r="75" spans="1:13" ht="12.75">
      <c r="A75" s="123" t="s">
        <v>19</v>
      </c>
      <c r="B75" s="120" t="s">
        <v>138</v>
      </c>
      <c r="C75" s="127" t="s">
        <v>214</v>
      </c>
      <c r="D75" s="130">
        <v>58275</v>
      </c>
      <c r="E75" s="137">
        <v>41234591.339999996</v>
      </c>
      <c r="F75" s="134">
        <v>41242462.13999999</v>
      </c>
      <c r="G75" s="141">
        <f t="shared" si="5"/>
        <v>-7870.79999999702</v>
      </c>
      <c r="H75" s="145">
        <v>1936692.43</v>
      </c>
      <c r="I75" s="146">
        <v>11858.09</v>
      </c>
      <c r="J75" s="34">
        <f t="shared" si="6"/>
        <v>33.23367533247533</v>
      </c>
      <c r="K75" s="47">
        <f t="shared" si="7"/>
        <v>0.2034850278850279</v>
      </c>
      <c r="L75" s="45">
        <f t="shared" si="8"/>
        <v>4.696766397006325</v>
      </c>
      <c r="M75" s="46">
        <f t="shared" si="9"/>
        <v>0.028757627066615186</v>
      </c>
    </row>
    <row r="76" spans="1:13" ht="12.75">
      <c r="A76" s="123" t="s">
        <v>19</v>
      </c>
      <c r="B76" s="120" t="s">
        <v>15</v>
      </c>
      <c r="C76" s="127" t="s">
        <v>215</v>
      </c>
      <c r="D76" s="130">
        <v>86768</v>
      </c>
      <c r="E76" s="137">
        <v>57675082.99999999</v>
      </c>
      <c r="F76" s="134">
        <v>55922456.99000002</v>
      </c>
      <c r="G76" s="141">
        <f t="shared" si="5"/>
        <v>1752626.0099999756</v>
      </c>
      <c r="H76" s="145">
        <v>6496316.97</v>
      </c>
      <c r="I76" s="146">
        <v>0</v>
      </c>
      <c r="J76" s="34">
        <f t="shared" si="6"/>
        <v>74.86996323529411</v>
      </c>
      <c r="K76" s="47">
        <f t="shared" si="7"/>
        <v>0</v>
      </c>
      <c r="L76" s="45">
        <f t="shared" si="8"/>
        <v>11.263645637059595</v>
      </c>
      <c r="M76" s="46">
        <f t="shared" si="9"/>
        <v>0</v>
      </c>
    </row>
    <row r="77" spans="1:13" ht="12.75">
      <c r="A77" s="123" t="s">
        <v>19</v>
      </c>
      <c r="B77" s="120" t="s">
        <v>141</v>
      </c>
      <c r="C77" s="127" t="s">
        <v>216</v>
      </c>
      <c r="D77" s="130">
        <v>46641</v>
      </c>
      <c r="E77" s="137">
        <v>27877050.460000005</v>
      </c>
      <c r="F77" s="134">
        <v>28942344.290000007</v>
      </c>
      <c r="G77" s="141">
        <f t="shared" si="5"/>
        <v>-1065293.830000002</v>
      </c>
      <c r="H77" s="145">
        <v>6859783.57</v>
      </c>
      <c r="I77" s="146">
        <v>1533.57</v>
      </c>
      <c r="J77" s="34">
        <f t="shared" si="6"/>
        <v>147.07625415407045</v>
      </c>
      <c r="K77" s="47">
        <f t="shared" si="7"/>
        <v>0.032880298449861706</v>
      </c>
      <c r="L77" s="45">
        <f t="shared" si="8"/>
        <v>24.607278950988416</v>
      </c>
      <c r="M77" s="46">
        <f t="shared" si="9"/>
        <v>0.0055011917498247395</v>
      </c>
    </row>
    <row r="78" spans="1:13" ht="25.5">
      <c r="A78" s="123" t="s">
        <v>19</v>
      </c>
      <c r="B78" s="120" t="s">
        <v>17</v>
      </c>
      <c r="C78" s="127" t="s">
        <v>217</v>
      </c>
      <c r="D78" s="130">
        <v>50132</v>
      </c>
      <c r="E78" s="137">
        <v>31509257.160000004</v>
      </c>
      <c r="F78" s="134">
        <v>31605143.77000002</v>
      </c>
      <c r="G78" s="141">
        <f t="shared" si="5"/>
        <v>-95886.6100000143</v>
      </c>
      <c r="H78" s="145">
        <v>3172689.57</v>
      </c>
      <c r="I78" s="146">
        <v>799</v>
      </c>
      <c r="J78" s="34">
        <f t="shared" si="6"/>
        <v>63.286714473789196</v>
      </c>
      <c r="K78" s="47">
        <f t="shared" si="7"/>
        <v>0.01593792388095428</v>
      </c>
      <c r="L78" s="45">
        <f t="shared" si="8"/>
        <v>10.06907130145749</v>
      </c>
      <c r="M78" s="46">
        <f t="shared" si="9"/>
        <v>0.0025357627313864605</v>
      </c>
    </row>
    <row r="79" spans="1:13" ht="12.75">
      <c r="A79" s="123" t="s">
        <v>19</v>
      </c>
      <c r="B79" s="120" t="s">
        <v>144</v>
      </c>
      <c r="C79" s="127" t="s">
        <v>218</v>
      </c>
      <c r="D79" s="130">
        <v>35347</v>
      </c>
      <c r="E79" s="137">
        <v>25619277.62999999</v>
      </c>
      <c r="F79" s="134">
        <v>25560673.099999983</v>
      </c>
      <c r="G79" s="141">
        <f t="shared" si="5"/>
        <v>58604.53000000864</v>
      </c>
      <c r="H79" s="145">
        <v>8200000</v>
      </c>
      <c r="I79" s="146">
        <v>0</v>
      </c>
      <c r="J79" s="34">
        <f t="shared" si="6"/>
        <v>231.98574136418932</v>
      </c>
      <c r="K79" s="47">
        <f t="shared" si="7"/>
        <v>0</v>
      </c>
      <c r="L79" s="45">
        <f t="shared" si="8"/>
        <v>32.007147580140426</v>
      </c>
      <c r="M79" s="46">
        <f t="shared" si="9"/>
        <v>0</v>
      </c>
    </row>
    <row r="80" spans="1:13" ht="12.75">
      <c r="A80" s="123" t="s">
        <v>19</v>
      </c>
      <c r="B80" s="120" t="s">
        <v>19</v>
      </c>
      <c r="C80" s="127" t="s">
        <v>219</v>
      </c>
      <c r="D80" s="130">
        <v>56111</v>
      </c>
      <c r="E80" s="137">
        <v>46360690.940000005</v>
      </c>
      <c r="F80" s="134">
        <v>46456556.26000003</v>
      </c>
      <c r="G80" s="141">
        <f t="shared" si="5"/>
        <v>-95865.32000002265</v>
      </c>
      <c r="H80" s="145">
        <v>14636573.26</v>
      </c>
      <c r="I80" s="146">
        <v>0</v>
      </c>
      <c r="J80" s="34">
        <f t="shared" si="6"/>
        <v>260.85033701056835</v>
      </c>
      <c r="K80" s="47">
        <f t="shared" si="7"/>
        <v>0</v>
      </c>
      <c r="L80" s="45">
        <f t="shared" si="8"/>
        <v>31.571085251819586</v>
      </c>
      <c r="M80" s="46">
        <f t="shared" si="9"/>
        <v>0</v>
      </c>
    </row>
    <row r="81" spans="1:13" ht="12.75">
      <c r="A81" s="123" t="s">
        <v>19</v>
      </c>
      <c r="B81" s="120" t="s">
        <v>147</v>
      </c>
      <c r="C81" s="127" t="s">
        <v>220</v>
      </c>
      <c r="D81" s="130">
        <v>89779</v>
      </c>
      <c r="E81" s="137">
        <v>48733920.75</v>
      </c>
      <c r="F81" s="134">
        <v>51652483.58999996</v>
      </c>
      <c r="G81" s="141">
        <f t="shared" si="5"/>
        <v>-2918562.839999959</v>
      </c>
      <c r="H81" s="145">
        <v>11893132</v>
      </c>
      <c r="I81" s="146">
        <v>0</v>
      </c>
      <c r="J81" s="34">
        <f t="shared" si="6"/>
        <v>132.4712015059201</v>
      </c>
      <c r="K81" s="47">
        <f t="shared" si="7"/>
        <v>0</v>
      </c>
      <c r="L81" s="45">
        <f t="shared" si="8"/>
        <v>24.404217466947802</v>
      </c>
      <c r="M81" s="46">
        <f t="shared" si="9"/>
        <v>0</v>
      </c>
    </row>
    <row r="82" spans="1:13" ht="12.75">
      <c r="A82" s="123" t="s">
        <v>19</v>
      </c>
      <c r="B82" s="120" t="s">
        <v>21</v>
      </c>
      <c r="C82" s="127" t="s">
        <v>221</v>
      </c>
      <c r="D82" s="130">
        <v>82050</v>
      </c>
      <c r="E82" s="137">
        <v>45998282.19999999</v>
      </c>
      <c r="F82" s="134">
        <v>47070754.32999999</v>
      </c>
      <c r="G82" s="141">
        <f t="shared" si="5"/>
        <v>-1072472.1300000027</v>
      </c>
      <c r="H82" s="145">
        <v>22614086.44</v>
      </c>
      <c r="I82" s="146">
        <v>2762.75</v>
      </c>
      <c r="J82" s="34">
        <f t="shared" si="6"/>
        <v>275.6134849482023</v>
      </c>
      <c r="K82" s="47">
        <f t="shared" si="7"/>
        <v>0.03367154174283973</v>
      </c>
      <c r="L82" s="45">
        <f t="shared" si="8"/>
        <v>49.1628933917015</v>
      </c>
      <c r="M82" s="46">
        <f t="shared" si="9"/>
        <v>0.006006202553364049</v>
      </c>
    </row>
    <row r="83" spans="1:13" ht="12.75">
      <c r="A83" s="123" t="s">
        <v>19</v>
      </c>
      <c r="B83" s="120" t="s">
        <v>150</v>
      </c>
      <c r="C83" s="127" t="s">
        <v>222</v>
      </c>
      <c r="D83" s="130">
        <v>98884</v>
      </c>
      <c r="E83" s="137">
        <v>67691569.15000004</v>
      </c>
      <c r="F83" s="134">
        <v>67956322.83</v>
      </c>
      <c r="G83" s="141">
        <f t="shared" si="5"/>
        <v>-264753.67999996245</v>
      </c>
      <c r="H83" s="145">
        <v>13230844.69</v>
      </c>
      <c r="I83" s="146">
        <v>48962.89</v>
      </c>
      <c r="J83" s="34">
        <f t="shared" si="6"/>
        <v>133.80167357712065</v>
      </c>
      <c r="K83" s="47">
        <f t="shared" si="7"/>
        <v>0.4951548278791311</v>
      </c>
      <c r="L83" s="45">
        <f t="shared" si="8"/>
        <v>19.54577926932278</v>
      </c>
      <c r="M83" s="46">
        <f t="shared" si="9"/>
        <v>0.07233233121173699</v>
      </c>
    </row>
    <row r="84" spans="1:13" ht="12.75">
      <c r="A84" s="123" t="s">
        <v>19</v>
      </c>
      <c r="B84" s="120" t="s">
        <v>23</v>
      </c>
      <c r="C84" s="127" t="s">
        <v>223</v>
      </c>
      <c r="D84" s="130">
        <v>38866</v>
      </c>
      <c r="E84" s="137">
        <v>27433116.67</v>
      </c>
      <c r="F84" s="134">
        <v>27457993.400000013</v>
      </c>
      <c r="G84" s="141">
        <f t="shared" si="5"/>
        <v>-24876.730000011623</v>
      </c>
      <c r="H84" s="145">
        <v>9228600</v>
      </c>
      <c r="I84" s="146">
        <v>0</v>
      </c>
      <c r="J84" s="34">
        <f t="shared" si="6"/>
        <v>237.4466114341584</v>
      </c>
      <c r="K84" s="47">
        <f t="shared" si="7"/>
        <v>0</v>
      </c>
      <c r="L84" s="45">
        <f t="shared" si="8"/>
        <v>33.64036289063761</v>
      </c>
      <c r="M84" s="46">
        <f t="shared" si="9"/>
        <v>0</v>
      </c>
    </row>
    <row r="85" spans="1:13" ht="12.75">
      <c r="A85" s="123" t="s">
        <v>21</v>
      </c>
      <c r="B85" s="120" t="s">
        <v>135</v>
      </c>
      <c r="C85" s="127" t="s">
        <v>224</v>
      </c>
      <c r="D85" s="130">
        <v>112633</v>
      </c>
      <c r="E85" s="137">
        <v>70392013.71999997</v>
      </c>
      <c r="F85" s="134">
        <v>70708838.8799999</v>
      </c>
      <c r="G85" s="141">
        <f t="shared" si="5"/>
        <v>-316825.1599999368</v>
      </c>
      <c r="H85" s="145">
        <v>12935333.4</v>
      </c>
      <c r="I85" s="146">
        <v>0</v>
      </c>
      <c r="J85" s="34">
        <f t="shared" si="6"/>
        <v>114.8449690588016</v>
      </c>
      <c r="K85" s="47">
        <f t="shared" si="7"/>
        <v>0</v>
      </c>
      <c r="L85" s="45">
        <f t="shared" si="8"/>
        <v>18.37613774121194</v>
      </c>
      <c r="M85" s="46">
        <f t="shared" si="9"/>
        <v>0</v>
      </c>
    </row>
    <row r="86" spans="1:13" ht="12.75">
      <c r="A86" s="123" t="s">
        <v>21</v>
      </c>
      <c r="B86" s="120" t="s">
        <v>13</v>
      </c>
      <c r="C86" s="127" t="s">
        <v>225</v>
      </c>
      <c r="D86" s="130">
        <v>103875</v>
      </c>
      <c r="E86" s="137">
        <v>85954356.52000003</v>
      </c>
      <c r="F86" s="134">
        <v>82508557.98999988</v>
      </c>
      <c r="G86" s="141">
        <f t="shared" si="5"/>
        <v>3445798.53000015</v>
      </c>
      <c r="H86" s="145">
        <v>1609453.4</v>
      </c>
      <c r="I86" s="146">
        <v>0</v>
      </c>
      <c r="J86" s="34">
        <f t="shared" si="6"/>
        <v>15.494136221419975</v>
      </c>
      <c r="K86" s="47">
        <f t="shared" si="7"/>
        <v>0</v>
      </c>
      <c r="L86" s="45">
        <f t="shared" si="8"/>
        <v>1.8724512231390031</v>
      </c>
      <c r="M86" s="46">
        <f t="shared" si="9"/>
        <v>0</v>
      </c>
    </row>
    <row r="87" spans="1:13" ht="12.75">
      <c r="A87" s="123" t="s">
        <v>21</v>
      </c>
      <c r="B87" s="120" t="s">
        <v>138</v>
      </c>
      <c r="C87" s="127" t="s">
        <v>226</v>
      </c>
      <c r="D87" s="130">
        <v>50792</v>
      </c>
      <c r="E87" s="137">
        <v>32582779.600000005</v>
      </c>
      <c r="F87" s="134">
        <v>34562645.74</v>
      </c>
      <c r="G87" s="141">
        <f t="shared" si="5"/>
        <v>-1979866.1399999969</v>
      </c>
      <c r="H87" s="145">
        <v>2842094.84</v>
      </c>
      <c r="I87" s="146">
        <v>0</v>
      </c>
      <c r="J87" s="34">
        <f t="shared" si="6"/>
        <v>55.95556071822334</v>
      </c>
      <c r="K87" s="47">
        <f t="shared" si="7"/>
        <v>0</v>
      </c>
      <c r="L87" s="45">
        <f t="shared" si="8"/>
        <v>8.722689945089888</v>
      </c>
      <c r="M87" s="46">
        <f t="shared" si="9"/>
        <v>0</v>
      </c>
    </row>
    <row r="88" spans="1:13" ht="12.75">
      <c r="A88" s="123" t="s">
        <v>21</v>
      </c>
      <c r="B88" s="120" t="s">
        <v>15</v>
      </c>
      <c r="C88" s="127" t="s">
        <v>227</v>
      </c>
      <c r="D88" s="130">
        <v>53317</v>
      </c>
      <c r="E88" s="137">
        <v>36319920.69999998</v>
      </c>
      <c r="F88" s="134">
        <v>37722502.660000004</v>
      </c>
      <c r="G88" s="141">
        <f t="shared" si="5"/>
        <v>-1402581.9600000232</v>
      </c>
      <c r="H88" s="145">
        <v>10057717.7</v>
      </c>
      <c r="I88" s="146">
        <v>0</v>
      </c>
      <c r="J88" s="34">
        <f t="shared" si="6"/>
        <v>188.63997786822213</v>
      </c>
      <c r="K88" s="47">
        <f t="shared" si="7"/>
        <v>0</v>
      </c>
      <c r="L88" s="45">
        <f t="shared" si="8"/>
        <v>27.69201448173868</v>
      </c>
      <c r="M88" s="46">
        <f t="shared" si="9"/>
        <v>0</v>
      </c>
    </row>
    <row r="89" spans="1:13" ht="12.75">
      <c r="A89" s="123" t="s">
        <v>21</v>
      </c>
      <c r="B89" s="120" t="s">
        <v>141</v>
      </c>
      <c r="C89" s="127" t="s">
        <v>228</v>
      </c>
      <c r="D89" s="130">
        <v>82195</v>
      </c>
      <c r="E89" s="137">
        <v>47575151.04000001</v>
      </c>
      <c r="F89" s="134">
        <v>47227216.44999997</v>
      </c>
      <c r="G89" s="141">
        <f t="shared" si="5"/>
        <v>347934.5900000334</v>
      </c>
      <c r="H89" s="145">
        <v>5161334</v>
      </c>
      <c r="I89" s="146">
        <v>0</v>
      </c>
      <c r="J89" s="34">
        <f t="shared" si="6"/>
        <v>62.79377091063933</v>
      </c>
      <c r="K89" s="47">
        <f t="shared" si="7"/>
        <v>0</v>
      </c>
      <c r="L89" s="45">
        <f t="shared" si="8"/>
        <v>10.848802131306904</v>
      </c>
      <c r="M89" s="46">
        <f t="shared" si="9"/>
        <v>0</v>
      </c>
    </row>
    <row r="90" spans="1:13" ht="12.75">
      <c r="A90" s="123" t="s">
        <v>21</v>
      </c>
      <c r="B90" s="120" t="s">
        <v>17</v>
      </c>
      <c r="C90" s="127" t="s">
        <v>229</v>
      </c>
      <c r="D90" s="130">
        <v>64793</v>
      </c>
      <c r="E90" s="137">
        <v>31464229.069999997</v>
      </c>
      <c r="F90" s="134">
        <v>31803314.05999999</v>
      </c>
      <c r="G90" s="141">
        <f t="shared" si="5"/>
        <v>-339084.98999999464</v>
      </c>
      <c r="H90" s="145">
        <v>6869918.14</v>
      </c>
      <c r="I90" s="146">
        <v>0</v>
      </c>
      <c r="J90" s="34">
        <f t="shared" si="6"/>
        <v>106.02870896547466</v>
      </c>
      <c r="K90" s="47">
        <f t="shared" si="7"/>
        <v>0</v>
      </c>
      <c r="L90" s="45">
        <f t="shared" si="8"/>
        <v>21.834058367411956</v>
      </c>
      <c r="M90" s="46">
        <f t="shared" si="9"/>
        <v>0</v>
      </c>
    </row>
    <row r="91" spans="1:13" ht="12.75">
      <c r="A91" s="123" t="s">
        <v>21</v>
      </c>
      <c r="B91" s="120" t="s">
        <v>144</v>
      </c>
      <c r="C91" s="127" t="s">
        <v>230</v>
      </c>
      <c r="D91" s="130">
        <v>78594</v>
      </c>
      <c r="E91" s="137">
        <v>45347516.68000001</v>
      </c>
      <c r="F91" s="134">
        <v>45168266.389999986</v>
      </c>
      <c r="G91" s="141">
        <f t="shared" si="5"/>
        <v>179250.29000002146</v>
      </c>
      <c r="H91" s="145">
        <v>4003513.16</v>
      </c>
      <c r="I91" s="146">
        <v>0</v>
      </c>
      <c r="J91" s="34">
        <f t="shared" si="6"/>
        <v>50.939170420133856</v>
      </c>
      <c r="K91" s="47">
        <f t="shared" si="7"/>
        <v>0</v>
      </c>
      <c r="L91" s="45">
        <f t="shared" si="8"/>
        <v>8.828516869515157</v>
      </c>
      <c r="M91" s="46">
        <f t="shared" si="9"/>
        <v>0</v>
      </c>
    </row>
    <row r="92" spans="1:13" ht="12.75">
      <c r="A92" s="123" t="s">
        <v>21</v>
      </c>
      <c r="B92" s="120" t="s">
        <v>19</v>
      </c>
      <c r="C92" s="127" t="s">
        <v>231</v>
      </c>
      <c r="D92" s="130">
        <v>119078</v>
      </c>
      <c r="E92" s="137">
        <v>66926867.180000015</v>
      </c>
      <c r="F92" s="134">
        <v>72080280.44000003</v>
      </c>
      <c r="G92" s="141">
        <f t="shared" si="5"/>
        <v>-5153413.260000013</v>
      </c>
      <c r="H92" s="145">
        <v>9823545.36</v>
      </c>
      <c r="I92" s="146">
        <v>0</v>
      </c>
      <c r="J92" s="34">
        <f t="shared" si="6"/>
        <v>82.49672785905037</v>
      </c>
      <c r="K92" s="47">
        <f t="shared" si="7"/>
        <v>0</v>
      </c>
      <c r="L92" s="45">
        <f t="shared" si="8"/>
        <v>14.678029577538037</v>
      </c>
      <c r="M92" s="46">
        <f t="shared" si="9"/>
        <v>0</v>
      </c>
    </row>
    <row r="93" spans="1:13" ht="12.75">
      <c r="A93" s="123" t="s">
        <v>21</v>
      </c>
      <c r="B93" s="120" t="s">
        <v>147</v>
      </c>
      <c r="C93" s="127" t="s">
        <v>232</v>
      </c>
      <c r="D93" s="130">
        <v>53283</v>
      </c>
      <c r="E93" s="137">
        <v>25457235.7</v>
      </c>
      <c r="F93" s="134">
        <v>24559422.06000001</v>
      </c>
      <c r="G93" s="141">
        <f t="shared" si="5"/>
        <v>897813.6399999894</v>
      </c>
      <c r="H93" s="145">
        <v>5607017.73</v>
      </c>
      <c r="I93" s="146">
        <v>1559.75</v>
      </c>
      <c r="J93" s="34">
        <f t="shared" si="6"/>
        <v>105.23089409380103</v>
      </c>
      <c r="K93" s="47">
        <f t="shared" si="7"/>
        <v>0.0292729388360265</v>
      </c>
      <c r="L93" s="45">
        <f t="shared" si="8"/>
        <v>22.02524184509161</v>
      </c>
      <c r="M93" s="46">
        <f t="shared" si="9"/>
        <v>0.006126941740182733</v>
      </c>
    </row>
    <row r="94" spans="1:13" ht="12.75">
      <c r="A94" s="123" t="s">
        <v>21</v>
      </c>
      <c r="B94" s="120" t="s">
        <v>21</v>
      </c>
      <c r="C94" s="127" t="s">
        <v>233</v>
      </c>
      <c r="D94" s="130">
        <v>90261</v>
      </c>
      <c r="E94" s="137">
        <v>39284759.44</v>
      </c>
      <c r="F94" s="134">
        <v>38907286.39000001</v>
      </c>
      <c r="G94" s="141">
        <f t="shared" si="5"/>
        <v>377473.04999998957</v>
      </c>
      <c r="H94" s="145">
        <v>3970899.45</v>
      </c>
      <c r="I94" s="146">
        <v>0</v>
      </c>
      <c r="J94" s="34">
        <f t="shared" si="6"/>
        <v>43.993523781035</v>
      </c>
      <c r="K94" s="47">
        <f t="shared" si="7"/>
        <v>0</v>
      </c>
      <c r="L94" s="45">
        <f t="shared" si="8"/>
        <v>10.1079897308899</v>
      </c>
      <c r="M94" s="46">
        <f t="shared" si="9"/>
        <v>0</v>
      </c>
    </row>
    <row r="95" spans="1:13" ht="12.75">
      <c r="A95" s="123" t="s">
        <v>21</v>
      </c>
      <c r="B95" s="120" t="s">
        <v>150</v>
      </c>
      <c r="C95" s="127" t="s">
        <v>234</v>
      </c>
      <c r="D95" s="130">
        <v>42192</v>
      </c>
      <c r="E95" s="137">
        <v>29064875.539999995</v>
      </c>
      <c r="F95" s="134">
        <v>25579213.439999986</v>
      </c>
      <c r="G95" s="141">
        <f t="shared" si="5"/>
        <v>3485662.100000009</v>
      </c>
      <c r="H95" s="145">
        <v>952476.17</v>
      </c>
      <c r="I95" s="146">
        <v>0</v>
      </c>
      <c r="J95" s="34">
        <f t="shared" si="6"/>
        <v>22.57480493932499</v>
      </c>
      <c r="K95" s="47">
        <f t="shared" si="7"/>
        <v>0</v>
      </c>
      <c r="L95" s="45">
        <f t="shared" si="8"/>
        <v>3.2770694947211196</v>
      </c>
      <c r="M95" s="46">
        <f t="shared" si="9"/>
        <v>0</v>
      </c>
    </row>
    <row r="96" spans="1:13" ht="12.75">
      <c r="A96" s="123" t="s">
        <v>21</v>
      </c>
      <c r="B96" s="120" t="s">
        <v>23</v>
      </c>
      <c r="C96" s="127" t="s">
        <v>235</v>
      </c>
      <c r="D96" s="130">
        <v>118623</v>
      </c>
      <c r="E96" s="137">
        <v>82486064.19999997</v>
      </c>
      <c r="F96" s="134">
        <v>84999420.78999998</v>
      </c>
      <c r="G96" s="141">
        <f t="shared" si="5"/>
        <v>-2513356.5900000036</v>
      </c>
      <c r="H96" s="145">
        <v>24328035.51</v>
      </c>
      <c r="I96" s="146">
        <v>1260.02</v>
      </c>
      <c r="J96" s="34">
        <f t="shared" si="6"/>
        <v>205.08700260489113</v>
      </c>
      <c r="K96" s="47">
        <f t="shared" si="7"/>
        <v>0.01062205474486398</v>
      </c>
      <c r="L96" s="45">
        <f t="shared" si="8"/>
        <v>29.493509898851507</v>
      </c>
      <c r="M96" s="46">
        <f t="shared" si="9"/>
        <v>0.0015275550024363997</v>
      </c>
    </row>
    <row r="97" spans="1:13" ht="12.75">
      <c r="A97" s="123" t="s">
        <v>21</v>
      </c>
      <c r="B97" s="120" t="s">
        <v>153</v>
      </c>
      <c r="C97" s="127" t="s">
        <v>236</v>
      </c>
      <c r="D97" s="130">
        <v>49401</v>
      </c>
      <c r="E97" s="137">
        <v>39081821.780000016</v>
      </c>
      <c r="F97" s="134">
        <v>37156981.629999995</v>
      </c>
      <c r="G97" s="141">
        <f t="shared" si="5"/>
        <v>1924840.1500000209</v>
      </c>
      <c r="H97" s="145">
        <v>13375508.1</v>
      </c>
      <c r="I97" s="146">
        <v>0</v>
      </c>
      <c r="J97" s="34">
        <f t="shared" si="6"/>
        <v>270.7537924333515</v>
      </c>
      <c r="K97" s="47">
        <f t="shared" si="7"/>
        <v>0</v>
      </c>
      <c r="L97" s="45">
        <f t="shared" si="8"/>
        <v>34.22437207583007</v>
      </c>
      <c r="M97" s="46">
        <f t="shared" si="9"/>
        <v>0</v>
      </c>
    </row>
    <row r="98" spans="1:13" ht="12.75">
      <c r="A98" s="123" t="s">
        <v>21</v>
      </c>
      <c r="B98" s="120" t="s">
        <v>25</v>
      </c>
      <c r="C98" s="127" t="s">
        <v>237</v>
      </c>
      <c r="D98" s="130">
        <v>120795</v>
      </c>
      <c r="E98" s="137">
        <v>81978489.73999998</v>
      </c>
      <c r="F98" s="134">
        <v>79071981.35000002</v>
      </c>
      <c r="G98" s="141">
        <f t="shared" si="5"/>
        <v>2906508.389999956</v>
      </c>
      <c r="H98" s="145">
        <v>5979647.12</v>
      </c>
      <c r="I98" s="146">
        <v>0</v>
      </c>
      <c r="J98" s="34">
        <f t="shared" si="6"/>
        <v>49.5024390082371</v>
      </c>
      <c r="K98" s="47">
        <f t="shared" si="7"/>
        <v>0</v>
      </c>
      <c r="L98" s="45">
        <f t="shared" si="8"/>
        <v>7.294165992768144</v>
      </c>
      <c r="M98" s="46">
        <f t="shared" si="9"/>
        <v>0</v>
      </c>
    </row>
    <row r="99" spans="1:13" ht="12.75">
      <c r="A99" s="123" t="s">
        <v>21</v>
      </c>
      <c r="B99" s="120" t="s">
        <v>156</v>
      </c>
      <c r="C99" s="127" t="s">
        <v>238</v>
      </c>
      <c r="D99" s="130">
        <v>37765</v>
      </c>
      <c r="E99" s="137">
        <v>12158303.76</v>
      </c>
      <c r="F99" s="134">
        <v>11881072.640000004</v>
      </c>
      <c r="G99" s="141">
        <f t="shared" si="5"/>
        <v>277231.11999999546</v>
      </c>
      <c r="H99" s="145">
        <v>2018116</v>
      </c>
      <c r="I99" s="146">
        <v>0</v>
      </c>
      <c r="J99" s="34">
        <f t="shared" si="6"/>
        <v>53.43879253276844</v>
      </c>
      <c r="K99" s="47">
        <f t="shared" si="7"/>
        <v>0</v>
      </c>
      <c r="L99" s="45">
        <f t="shared" si="8"/>
        <v>16.598664088649155</v>
      </c>
      <c r="M99" s="46">
        <f t="shared" si="9"/>
        <v>0</v>
      </c>
    </row>
    <row r="100" spans="1:13" ht="12.75">
      <c r="A100" s="123" t="s">
        <v>21</v>
      </c>
      <c r="B100" s="120" t="s">
        <v>27</v>
      </c>
      <c r="C100" s="127" t="s">
        <v>209</v>
      </c>
      <c r="D100" s="130">
        <v>120887</v>
      </c>
      <c r="E100" s="137">
        <v>75385312.11000001</v>
      </c>
      <c r="F100" s="134">
        <v>75265288.94000006</v>
      </c>
      <c r="G100" s="141">
        <f t="shared" si="5"/>
        <v>120023.16999995708</v>
      </c>
      <c r="H100" s="145">
        <v>7096772.15</v>
      </c>
      <c r="I100" s="146">
        <v>0</v>
      </c>
      <c r="J100" s="34">
        <f t="shared" si="6"/>
        <v>58.70583396064093</v>
      </c>
      <c r="K100" s="47">
        <f t="shared" si="7"/>
        <v>0</v>
      </c>
      <c r="L100" s="45">
        <f t="shared" si="8"/>
        <v>9.413998498334266</v>
      </c>
      <c r="M100" s="46">
        <f t="shared" si="9"/>
        <v>0</v>
      </c>
    </row>
    <row r="101" spans="1:13" ht="12.75">
      <c r="A101" s="123" t="s">
        <v>21</v>
      </c>
      <c r="B101" s="120" t="s">
        <v>159</v>
      </c>
      <c r="C101" s="127" t="s">
        <v>239</v>
      </c>
      <c r="D101" s="130">
        <v>78254</v>
      </c>
      <c r="E101" s="137">
        <v>52337000.42000001</v>
      </c>
      <c r="F101" s="134">
        <v>47965640.31000001</v>
      </c>
      <c r="G101" s="141">
        <f t="shared" si="5"/>
        <v>4371360.109999999</v>
      </c>
      <c r="H101" s="145">
        <v>5921816.32</v>
      </c>
      <c r="I101" s="146">
        <v>52</v>
      </c>
      <c r="J101" s="34">
        <f t="shared" si="6"/>
        <v>75.67429549927161</v>
      </c>
      <c r="K101" s="47">
        <f t="shared" si="7"/>
        <v>0.0006645027730211874</v>
      </c>
      <c r="L101" s="45">
        <f t="shared" si="8"/>
        <v>11.314779739912344</v>
      </c>
      <c r="M101" s="46">
        <f t="shared" si="9"/>
        <v>9.935609527237784E-05</v>
      </c>
    </row>
    <row r="102" spans="1:13" ht="12.75">
      <c r="A102" s="123" t="s">
        <v>21</v>
      </c>
      <c r="B102" s="120" t="s">
        <v>29</v>
      </c>
      <c r="C102" s="127" t="s">
        <v>240</v>
      </c>
      <c r="D102" s="130">
        <v>42269</v>
      </c>
      <c r="E102" s="137">
        <v>28061486.19</v>
      </c>
      <c r="F102" s="134">
        <v>27734852.59</v>
      </c>
      <c r="G102" s="141">
        <f t="shared" si="5"/>
        <v>326633.6000000015</v>
      </c>
      <c r="H102" s="145">
        <v>4052033.49</v>
      </c>
      <c r="I102" s="146">
        <v>0</v>
      </c>
      <c r="J102" s="34">
        <f t="shared" si="6"/>
        <v>95.86300811469398</v>
      </c>
      <c r="K102" s="47">
        <f t="shared" si="7"/>
        <v>0</v>
      </c>
      <c r="L102" s="45">
        <f t="shared" si="8"/>
        <v>14.439839225065649</v>
      </c>
      <c r="M102" s="46">
        <f t="shared" si="9"/>
        <v>0</v>
      </c>
    </row>
    <row r="103" spans="1:13" ht="12.75">
      <c r="A103" s="123" t="s">
        <v>21</v>
      </c>
      <c r="B103" s="120" t="s">
        <v>162</v>
      </c>
      <c r="C103" s="127" t="s">
        <v>241</v>
      </c>
      <c r="D103" s="130">
        <v>67840</v>
      </c>
      <c r="E103" s="137">
        <v>48778701.58999999</v>
      </c>
      <c r="F103" s="134">
        <v>48478021.45999998</v>
      </c>
      <c r="G103" s="141">
        <f t="shared" si="5"/>
        <v>300680.13000001013</v>
      </c>
      <c r="H103" s="145">
        <v>14478548</v>
      </c>
      <c r="I103" s="146">
        <v>0</v>
      </c>
      <c r="J103" s="34">
        <f t="shared" si="6"/>
        <v>213.4219929245283</v>
      </c>
      <c r="K103" s="47">
        <f t="shared" si="7"/>
        <v>0</v>
      </c>
      <c r="L103" s="45">
        <f t="shared" si="8"/>
        <v>29.68211028185345</v>
      </c>
      <c r="M103" s="46">
        <f t="shared" si="9"/>
        <v>0</v>
      </c>
    </row>
    <row r="104" spans="1:13" ht="12.75">
      <c r="A104" s="123" t="s">
        <v>21</v>
      </c>
      <c r="B104" s="120" t="s">
        <v>31</v>
      </c>
      <c r="C104" s="127" t="s">
        <v>242</v>
      </c>
      <c r="D104" s="130">
        <v>160760</v>
      </c>
      <c r="E104" s="137">
        <v>83095278.65000002</v>
      </c>
      <c r="F104" s="134">
        <v>84028945.14</v>
      </c>
      <c r="G104" s="141">
        <f t="shared" si="5"/>
        <v>-933666.4899999797</v>
      </c>
      <c r="H104" s="145">
        <v>7536619</v>
      </c>
      <c r="I104" s="146">
        <v>941</v>
      </c>
      <c r="J104" s="34">
        <f t="shared" si="6"/>
        <v>46.88118313013187</v>
      </c>
      <c r="K104" s="47">
        <f t="shared" si="7"/>
        <v>0.005853446130878328</v>
      </c>
      <c r="L104" s="45">
        <f t="shared" si="8"/>
        <v>9.069852249662079</v>
      </c>
      <c r="M104" s="46">
        <f t="shared" si="9"/>
        <v>0.0011324349773992842</v>
      </c>
    </row>
    <row r="105" spans="1:13" ht="12.75">
      <c r="A105" s="123" t="s">
        <v>21</v>
      </c>
      <c r="B105" s="120" t="s">
        <v>165</v>
      </c>
      <c r="C105" s="127" t="s">
        <v>243</v>
      </c>
      <c r="D105" s="130">
        <v>30614</v>
      </c>
      <c r="E105" s="137">
        <v>18799657.61</v>
      </c>
      <c r="F105" s="134">
        <v>18153583.749999974</v>
      </c>
      <c r="G105" s="141">
        <f t="shared" si="5"/>
        <v>646073.8600000255</v>
      </c>
      <c r="H105" s="145">
        <v>3130441</v>
      </c>
      <c r="I105" s="146">
        <v>0</v>
      </c>
      <c r="J105" s="34">
        <f t="shared" si="6"/>
        <v>102.25521003462468</v>
      </c>
      <c r="K105" s="47">
        <f t="shared" si="7"/>
        <v>0</v>
      </c>
      <c r="L105" s="45">
        <f t="shared" si="8"/>
        <v>16.65158517746005</v>
      </c>
      <c r="M105" s="46">
        <f t="shared" si="9"/>
        <v>0</v>
      </c>
    </row>
    <row r="106" spans="1:13" ht="12.75">
      <c r="A106" s="123" t="s">
        <v>23</v>
      </c>
      <c r="B106" s="120" t="s">
        <v>135</v>
      </c>
      <c r="C106" s="127" t="s">
        <v>244</v>
      </c>
      <c r="D106" s="130">
        <v>100726</v>
      </c>
      <c r="E106" s="137">
        <v>56905340.64999999</v>
      </c>
      <c r="F106" s="134">
        <v>57981786.880000025</v>
      </c>
      <c r="G106" s="141">
        <f t="shared" si="5"/>
        <v>-1076446.230000034</v>
      </c>
      <c r="H106" s="145">
        <v>12040000</v>
      </c>
      <c r="I106" s="146">
        <v>0</v>
      </c>
      <c r="J106" s="34">
        <f t="shared" si="6"/>
        <v>119.53219625518734</v>
      </c>
      <c r="K106" s="47">
        <f t="shared" si="7"/>
        <v>0</v>
      </c>
      <c r="L106" s="45">
        <f t="shared" si="8"/>
        <v>21.157943810674652</v>
      </c>
      <c r="M106" s="46">
        <f t="shared" si="9"/>
        <v>0</v>
      </c>
    </row>
    <row r="107" spans="1:13" ht="12.75">
      <c r="A107" s="123" t="s">
        <v>23</v>
      </c>
      <c r="B107" s="120" t="s">
        <v>13</v>
      </c>
      <c r="C107" s="127" t="s">
        <v>245</v>
      </c>
      <c r="D107" s="130">
        <v>90268</v>
      </c>
      <c r="E107" s="137">
        <v>53421324.39</v>
      </c>
      <c r="F107" s="134">
        <v>50514602.279999934</v>
      </c>
      <c r="G107" s="141">
        <f t="shared" si="5"/>
        <v>2906722.1100000665</v>
      </c>
      <c r="H107" s="145">
        <v>17290848.92</v>
      </c>
      <c r="I107" s="146">
        <v>0</v>
      </c>
      <c r="J107" s="34">
        <f t="shared" si="6"/>
        <v>191.55014977622193</v>
      </c>
      <c r="K107" s="47">
        <f t="shared" si="7"/>
        <v>0</v>
      </c>
      <c r="L107" s="45">
        <f t="shared" si="8"/>
        <v>32.36694169872864</v>
      </c>
      <c r="M107" s="46">
        <f t="shared" si="9"/>
        <v>0</v>
      </c>
    </row>
    <row r="108" spans="1:13" ht="12.75">
      <c r="A108" s="123" t="s">
        <v>23</v>
      </c>
      <c r="B108" s="120" t="s">
        <v>138</v>
      </c>
      <c r="C108" s="127" t="s">
        <v>246</v>
      </c>
      <c r="D108" s="130">
        <v>128093</v>
      </c>
      <c r="E108" s="137">
        <v>64825533.59000001</v>
      </c>
      <c r="F108" s="134">
        <v>64482786.30000006</v>
      </c>
      <c r="G108" s="141">
        <f t="shared" si="5"/>
        <v>342747.2899999544</v>
      </c>
      <c r="H108" s="145">
        <v>7010000</v>
      </c>
      <c r="I108" s="146">
        <v>0</v>
      </c>
      <c r="J108" s="34">
        <f t="shared" si="6"/>
        <v>54.72586323998969</v>
      </c>
      <c r="K108" s="47">
        <f t="shared" si="7"/>
        <v>0</v>
      </c>
      <c r="L108" s="45">
        <f t="shared" si="8"/>
        <v>10.813640261468457</v>
      </c>
      <c r="M108" s="46">
        <f t="shared" si="9"/>
        <v>0</v>
      </c>
    </row>
    <row r="109" spans="1:13" ht="12.75">
      <c r="A109" s="123" t="s">
        <v>23</v>
      </c>
      <c r="B109" s="120" t="s">
        <v>15</v>
      </c>
      <c r="C109" s="127" t="s">
        <v>247</v>
      </c>
      <c r="D109" s="130">
        <v>58605</v>
      </c>
      <c r="E109" s="137">
        <v>27853779.29</v>
      </c>
      <c r="F109" s="134">
        <v>28435582.449999996</v>
      </c>
      <c r="G109" s="141">
        <f t="shared" si="5"/>
        <v>-581803.1599999964</v>
      </c>
      <c r="H109" s="145">
        <v>6293807.91</v>
      </c>
      <c r="I109" s="146">
        <v>0</v>
      </c>
      <c r="J109" s="34">
        <f t="shared" si="6"/>
        <v>107.39370207320195</v>
      </c>
      <c r="K109" s="47">
        <f t="shared" si="7"/>
        <v>0</v>
      </c>
      <c r="L109" s="45">
        <f t="shared" si="8"/>
        <v>22.595884904780547</v>
      </c>
      <c r="M109" s="46">
        <f t="shared" si="9"/>
        <v>0</v>
      </c>
    </row>
    <row r="110" spans="1:13" ht="12.75">
      <c r="A110" s="123" t="s">
        <v>23</v>
      </c>
      <c r="B110" s="120" t="s">
        <v>141</v>
      </c>
      <c r="C110" s="127" t="s">
        <v>248</v>
      </c>
      <c r="D110" s="130">
        <v>106676</v>
      </c>
      <c r="E110" s="137">
        <v>74460471.19000003</v>
      </c>
      <c r="F110" s="134">
        <v>73352219.49999999</v>
      </c>
      <c r="G110" s="141">
        <f t="shared" si="5"/>
        <v>1108251.6900000423</v>
      </c>
      <c r="H110" s="145">
        <v>4356447.1</v>
      </c>
      <c r="I110" s="146">
        <v>7077.85</v>
      </c>
      <c r="J110" s="34">
        <f t="shared" si="6"/>
        <v>40.83811822715512</v>
      </c>
      <c r="K110" s="47">
        <f t="shared" si="7"/>
        <v>0.0663490382091567</v>
      </c>
      <c r="L110" s="45">
        <f t="shared" si="8"/>
        <v>5.850684303197193</v>
      </c>
      <c r="M110" s="46">
        <f t="shared" si="9"/>
        <v>0.009505513310464451</v>
      </c>
    </row>
    <row r="111" spans="1:13" ht="12.75">
      <c r="A111" s="123" t="s">
        <v>23</v>
      </c>
      <c r="B111" s="120" t="s">
        <v>17</v>
      </c>
      <c r="C111" s="127" t="s">
        <v>249</v>
      </c>
      <c r="D111" s="130">
        <v>245944</v>
      </c>
      <c r="E111" s="137">
        <v>115970602.31999995</v>
      </c>
      <c r="F111" s="134">
        <v>111083169.39000006</v>
      </c>
      <c r="G111" s="141">
        <f t="shared" si="5"/>
        <v>4887432.929999888</v>
      </c>
      <c r="H111" s="145">
        <v>12795796.85</v>
      </c>
      <c r="I111" s="146">
        <v>0</v>
      </c>
      <c r="J111" s="34">
        <f t="shared" si="6"/>
        <v>52.02727795758384</v>
      </c>
      <c r="K111" s="47">
        <f t="shared" si="7"/>
        <v>0</v>
      </c>
      <c r="L111" s="45">
        <f t="shared" si="8"/>
        <v>11.033655593761864</v>
      </c>
      <c r="M111" s="46">
        <f t="shared" si="9"/>
        <v>0</v>
      </c>
    </row>
    <row r="112" spans="1:13" ht="12.75">
      <c r="A112" s="123" t="s">
        <v>23</v>
      </c>
      <c r="B112" s="120" t="s">
        <v>144</v>
      </c>
      <c r="C112" s="127" t="s">
        <v>250</v>
      </c>
      <c r="D112" s="130">
        <v>122128</v>
      </c>
      <c r="E112" s="137">
        <v>83356791.86999999</v>
      </c>
      <c r="F112" s="134">
        <v>91980797.18000004</v>
      </c>
      <c r="G112" s="141">
        <f t="shared" si="5"/>
        <v>-8624005.310000047</v>
      </c>
      <c r="H112" s="145">
        <v>19126368.14</v>
      </c>
      <c r="I112" s="146">
        <v>1728.44</v>
      </c>
      <c r="J112" s="34">
        <f t="shared" si="6"/>
        <v>156.6091980545002</v>
      </c>
      <c r="K112" s="47">
        <f t="shared" si="7"/>
        <v>0.014152692257303813</v>
      </c>
      <c r="L112" s="45">
        <f t="shared" si="8"/>
        <v>22.945182643099727</v>
      </c>
      <c r="M112" s="46">
        <f t="shared" si="9"/>
        <v>0.0020735442922222916</v>
      </c>
    </row>
    <row r="113" spans="1:13" ht="12.75">
      <c r="A113" s="123" t="s">
        <v>23</v>
      </c>
      <c r="B113" s="120" t="s">
        <v>19</v>
      </c>
      <c r="C113" s="127" t="s">
        <v>251</v>
      </c>
      <c r="D113" s="130">
        <v>50763</v>
      </c>
      <c r="E113" s="137">
        <v>44492238.730000004</v>
      </c>
      <c r="F113" s="134">
        <v>47127388.940000035</v>
      </c>
      <c r="G113" s="141">
        <f t="shared" si="5"/>
        <v>-2635150.2100000307</v>
      </c>
      <c r="H113" s="145">
        <v>5761631</v>
      </c>
      <c r="I113" s="146">
        <v>0</v>
      </c>
      <c r="J113" s="34">
        <f t="shared" si="6"/>
        <v>113.50060083131415</v>
      </c>
      <c r="K113" s="47">
        <f t="shared" si="7"/>
        <v>0</v>
      </c>
      <c r="L113" s="45">
        <f t="shared" si="8"/>
        <v>12.949743965378566</v>
      </c>
      <c r="M113" s="46">
        <f t="shared" si="9"/>
        <v>0</v>
      </c>
    </row>
    <row r="114" spans="1:13" ht="12.75">
      <c r="A114" s="123" t="s">
        <v>23</v>
      </c>
      <c r="B114" s="120" t="s">
        <v>147</v>
      </c>
      <c r="C114" s="127" t="s">
        <v>252</v>
      </c>
      <c r="D114" s="130">
        <v>117199</v>
      </c>
      <c r="E114" s="137">
        <v>66750990.91</v>
      </c>
      <c r="F114" s="134">
        <v>70242284.11999995</v>
      </c>
      <c r="G114" s="141">
        <f t="shared" si="5"/>
        <v>-3491293.2099999487</v>
      </c>
      <c r="H114" s="145">
        <v>6800626.4</v>
      </c>
      <c r="I114" s="146">
        <v>6203</v>
      </c>
      <c r="J114" s="34">
        <f t="shared" si="6"/>
        <v>58.02631763069651</v>
      </c>
      <c r="K114" s="47">
        <f t="shared" si="7"/>
        <v>0.05292707275659349</v>
      </c>
      <c r="L114" s="45">
        <f t="shared" si="8"/>
        <v>10.188053101967052</v>
      </c>
      <c r="M114" s="46">
        <f t="shared" si="9"/>
        <v>0.009292745943447448</v>
      </c>
    </row>
    <row r="115" spans="1:13" ht="12.75">
      <c r="A115" s="123" t="s">
        <v>23</v>
      </c>
      <c r="B115" s="120" t="s">
        <v>21</v>
      </c>
      <c r="C115" s="127" t="s">
        <v>253</v>
      </c>
      <c r="D115" s="130">
        <v>198630</v>
      </c>
      <c r="E115" s="137">
        <v>99274029.38999996</v>
      </c>
      <c r="F115" s="134">
        <v>104641352.18000008</v>
      </c>
      <c r="G115" s="141">
        <f t="shared" si="5"/>
        <v>-5367322.790000126</v>
      </c>
      <c r="H115" s="145">
        <v>34678488</v>
      </c>
      <c r="I115" s="146">
        <v>0</v>
      </c>
      <c r="J115" s="34">
        <f t="shared" si="6"/>
        <v>174.58837033680712</v>
      </c>
      <c r="K115" s="47">
        <f t="shared" si="7"/>
        <v>0</v>
      </c>
      <c r="L115" s="45">
        <f t="shared" si="8"/>
        <v>34.932084668151106</v>
      </c>
      <c r="M115" s="46">
        <f t="shared" si="9"/>
        <v>0</v>
      </c>
    </row>
    <row r="116" spans="1:13" ht="12.75">
      <c r="A116" s="123" t="s">
        <v>23</v>
      </c>
      <c r="B116" s="120" t="s">
        <v>150</v>
      </c>
      <c r="C116" s="127" t="s">
        <v>254</v>
      </c>
      <c r="D116" s="130">
        <v>182165</v>
      </c>
      <c r="E116" s="137">
        <v>99322037.04</v>
      </c>
      <c r="F116" s="134">
        <v>107762289.2200001</v>
      </c>
      <c r="G116" s="141">
        <f t="shared" si="5"/>
        <v>-8440252.180000097</v>
      </c>
      <c r="H116" s="145">
        <v>19693851.84</v>
      </c>
      <c r="I116" s="146">
        <v>11916.84</v>
      </c>
      <c r="J116" s="34">
        <f t="shared" si="6"/>
        <v>108.10996536107375</v>
      </c>
      <c r="K116" s="47">
        <f t="shared" si="7"/>
        <v>0.06541783547882414</v>
      </c>
      <c r="L116" s="45">
        <f t="shared" si="8"/>
        <v>19.82828023560238</v>
      </c>
      <c r="M116" s="46">
        <f t="shared" si="9"/>
        <v>0.011998183238228115</v>
      </c>
    </row>
    <row r="117" spans="1:13" ht="12.75">
      <c r="A117" s="123" t="s">
        <v>23</v>
      </c>
      <c r="B117" s="120" t="s">
        <v>23</v>
      </c>
      <c r="C117" s="127" t="s">
        <v>255</v>
      </c>
      <c r="D117" s="130">
        <v>114138</v>
      </c>
      <c r="E117" s="137">
        <v>67072708.40999997</v>
      </c>
      <c r="F117" s="134">
        <v>68248895.53</v>
      </c>
      <c r="G117" s="141">
        <f t="shared" si="5"/>
        <v>-1176187.1200000346</v>
      </c>
      <c r="H117" s="145">
        <v>16382588.16</v>
      </c>
      <c r="I117" s="146">
        <v>0</v>
      </c>
      <c r="J117" s="34">
        <f t="shared" si="6"/>
        <v>143.53316301319455</v>
      </c>
      <c r="K117" s="47">
        <f t="shared" si="7"/>
        <v>0</v>
      </c>
      <c r="L117" s="45">
        <f t="shared" si="8"/>
        <v>24.42511797772803</v>
      </c>
      <c r="M117" s="46">
        <f t="shared" si="9"/>
        <v>0</v>
      </c>
    </row>
    <row r="118" spans="1:13" ht="12.75">
      <c r="A118" s="123" t="s">
        <v>23</v>
      </c>
      <c r="B118" s="120" t="s">
        <v>153</v>
      </c>
      <c r="C118" s="127" t="s">
        <v>256</v>
      </c>
      <c r="D118" s="130">
        <v>153239</v>
      </c>
      <c r="E118" s="137">
        <v>115143924.72999993</v>
      </c>
      <c r="F118" s="134">
        <v>117625352.49000005</v>
      </c>
      <c r="G118" s="141">
        <f t="shared" si="5"/>
        <v>-2481427.7600001246</v>
      </c>
      <c r="H118" s="145">
        <v>10626164</v>
      </c>
      <c r="I118" s="146">
        <v>0</v>
      </c>
      <c r="J118" s="34">
        <f t="shared" si="6"/>
        <v>69.34373103452776</v>
      </c>
      <c r="K118" s="47">
        <f t="shared" si="7"/>
        <v>0</v>
      </c>
      <c r="L118" s="45">
        <f t="shared" si="8"/>
        <v>9.228592845794694</v>
      </c>
      <c r="M118" s="46">
        <f t="shared" si="9"/>
        <v>0</v>
      </c>
    </row>
    <row r="119" spans="1:13" ht="12.75">
      <c r="A119" s="123" t="s">
        <v>23</v>
      </c>
      <c r="B119" s="120" t="s">
        <v>25</v>
      </c>
      <c r="C119" s="127" t="s">
        <v>257</v>
      </c>
      <c r="D119" s="130">
        <v>43470</v>
      </c>
      <c r="E119" s="137">
        <v>24622651.910000004</v>
      </c>
      <c r="F119" s="134">
        <v>24982683.98000002</v>
      </c>
      <c r="G119" s="141">
        <f t="shared" si="5"/>
        <v>-360032.0700000152</v>
      </c>
      <c r="H119" s="145">
        <v>7933185.39</v>
      </c>
      <c r="I119" s="146">
        <v>15961.75</v>
      </c>
      <c r="J119" s="34">
        <f t="shared" si="6"/>
        <v>182.49793857832987</v>
      </c>
      <c r="K119" s="47">
        <f t="shared" si="7"/>
        <v>0.36719001610305957</v>
      </c>
      <c r="L119" s="45">
        <f t="shared" si="8"/>
        <v>32.2190534918706</v>
      </c>
      <c r="M119" s="46">
        <f t="shared" si="9"/>
        <v>0.0648254707021117</v>
      </c>
    </row>
    <row r="120" spans="1:13" ht="12.75">
      <c r="A120" s="123" t="s">
        <v>23</v>
      </c>
      <c r="B120" s="120" t="s">
        <v>156</v>
      </c>
      <c r="C120" s="127" t="s">
        <v>258</v>
      </c>
      <c r="D120" s="130">
        <v>82081</v>
      </c>
      <c r="E120" s="137">
        <v>51324549.30999999</v>
      </c>
      <c r="F120" s="134">
        <v>51045080.82000002</v>
      </c>
      <c r="G120" s="141">
        <f t="shared" si="5"/>
        <v>279468.48999996483</v>
      </c>
      <c r="H120" s="145">
        <v>8486990</v>
      </c>
      <c r="I120" s="146">
        <v>0</v>
      </c>
      <c r="J120" s="34">
        <f t="shared" si="6"/>
        <v>103.397741255589</v>
      </c>
      <c r="K120" s="47">
        <f t="shared" si="7"/>
        <v>0</v>
      </c>
      <c r="L120" s="45">
        <f t="shared" si="8"/>
        <v>16.5359269863991</v>
      </c>
      <c r="M120" s="46">
        <f t="shared" si="9"/>
        <v>0</v>
      </c>
    </row>
    <row r="121" spans="1:13" ht="12.75">
      <c r="A121" s="123" t="s">
        <v>23</v>
      </c>
      <c r="B121" s="120" t="s">
        <v>27</v>
      </c>
      <c r="C121" s="127" t="s">
        <v>259</v>
      </c>
      <c r="D121" s="130">
        <v>193781</v>
      </c>
      <c r="E121" s="137">
        <v>88557166.48999996</v>
      </c>
      <c r="F121" s="134">
        <v>85940513.44000004</v>
      </c>
      <c r="G121" s="141">
        <f t="shared" si="5"/>
        <v>2616653.0499999225</v>
      </c>
      <c r="H121" s="145">
        <v>19806232.84</v>
      </c>
      <c r="I121" s="146">
        <v>0</v>
      </c>
      <c r="J121" s="34">
        <f t="shared" si="6"/>
        <v>102.20936438556927</v>
      </c>
      <c r="K121" s="47">
        <f t="shared" si="7"/>
        <v>0</v>
      </c>
      <c r="L121" s="45">
        <f t="shared" si="8"/>
        <v>22.36547715450737</v>
      </c>
      <c r="M121" s="46">
        <f t="shared" si="9"/>
        <v>0</v>
      </c>
    </row>
    <row r="122" spans="1:13" ht="12.75">
      <c r="A122" s="123" t="s">
        <v>23</v>
      </c>
      <c r="B122" s="120" t="s">
        <v>159</v>
      </c>
      <c r="C122" s="127" t="s">
        <v>260</v>
      </c>
      <c r="D122" s="130">
        <v>65196</v>
      </c>
      <c r="E122" s="137">
        <v>46123273.809999995</v>
      </c>
      <c r="F122" s="134">
        <v>47523315.0499999</v>
      </c>
      <c r="G122" s="141">
        <f t="shared" si="5"/>
        <v>-1400041.2399999052</v>
      </c>
      <c r="H122" s="145">
        <v>4100000</v>
      </c>
      <c r="I122" s="146">
        <v>0</v>
      </c>
      <c r="J122" s="34">
        <f t="shared" si="6"/>
        <v>62.88729369899994</v>
      </c>
      <c r="K122" s="47">
        <f t="shared" si="7"/>
        <v>0</v>
      </c>
      <c r="L122" s="45">
        <f t="shared" si="8"/>
        <v>8.889221560658338</v>
      </c>
      <c r="M122" s="46">
        <f t="shared" si="9"/>
        <v>0</v>
      </c>
    </row>
    <row r="123" spans="1:13" ht="12.75">
      <c r="A123" s="123" t="s">
        <v>23</v>
      </c>
      <c r="B123" s="120" t="s">
        <v>29</v>
      </c>
      <c r="C123" s="127" t="s">
        <v>261</v>
      </c>
      <c r="D123" s="130">
        <v>154440</v>
      </c>
      <c r="E123" s="137">
        <v>88971401.82999997</v>
      </c>
      <c r="F123" s="134">
        <v>87434090.86999999</v>
      </c>
      <c r="G123" s="141">
        <f t="shared" si="5"/>
        <v>1537310.9599999785</v>
      </c>
      <c r="H123" s="145">
        <v>9245668</v>
      </c>
      <c r="I123" s="146">
        <v>0</v>
      </c>
      <c r="J123" s="34">
        <f t="shared" si="6"/>
        <v>59.865760165760165</v>
      </c>
      <c r="K123" s="47">
        <f t="shared" si="7"/>
        <v>0</v>
      </c>
      <c r="L123" s="45">
        <f t="shared" si="8"/>
        <v>10.391730162536884</v>
      </c>
      <c r="M123" s="46">
        <f t="shared" si="9"/>
        <v>0</v>
      </c>
    </row>
    <row r="124" spans="1:13" ht="12.75">
      <c r="A124" s="123" t="s">
        <v>23</v>
      </c>
      <c r="B124" s="120" t="s">
        <v>162</v>
      </c>
      <c r="C124" s="127" t="s">
        <v>262</v>
      </c>
      <c r="D124" s="130">
        <v>105943</v>
      </c>
      <c r="E124" s="137">
        <v>41671731.839999996</v>
      </c>
      <c r="F124" s="134">
        <v>41171828.24999999</v>
      </c>
      <c r="G124" s="141">
        <f t="shared" si="5"/>
        <v>499903.5900000036</v>
      </c>
      <c r="H124" s="145">
        <v>8026192.15</v>
      </c>
      <c r="I124" s="146">
        <v>0</v>
      </c>
      <c r="J124" s="34">
        <f t="shared" si="6"/>
        <v>75.7595324844492</v>
      </c>
      <c r="K124" s="47">
        <f t="shared" si="7"/>
        <v>0</v>
      </c>
      <c r="L124" s="45">
        <f t="shared" si="8"/>
        <v>19.260519771092866</v>
      </c>
      <c r="M124" s="46">
        <f t="shared" si="9"/>
        <v>0</v>
      </c>
    </row>
    <row r="125" spans="1:13" ht="12.75">
      <c r="A125" s="123" t="s">
        <v>25</v>
      </c>
      <c r="B125" s="120" t="s">
        <v>135</v>
      </c>
      <c r="C125" s="127" t="s">
        <v>263</v>
      </c>
      <c r="D125" s="130">
        <v>33578</v>
      </c>
      <c r="E125" s="137">
        <v>18898487.589999992</v>
      </c>
      <c r="F125" s="134">
        <v>18631607.210000016</v>
      </c>
      <c r="G125" s="141">
        <f t="shared" si="5"/>
        <v>266880.3799999766</v>
      </c>
      <c r="H125" s="145">
        <v>791524</v>
      </c>
      <c r="I125" s="146">
        <v>0</v>
      </c>
      <c r="J125" s="34">
        <f t="shared" si="6"/>
        <v>23.572696408362617</v>
      </c>
      <c r="K125" s="47">
        <f t="shared" si="7"/>
        <v>0</v>
      </c>
      <c r="L125" s="45">
        <f t="shared" si="8"/>
        <v>4.188292826240919</v>
      </c>
      <c r="M125" s="46">
        <f t="shared" si="9"/>
        <v>0</v>
      </c>
    </row>
    <row r="126" spans="1:13" ht="12.75">
      <c r="A126" s="123" t="s">
        <v>25</v>
      </c>
      <c r="B126" s="120" t="s">
        <v>13</v>
      </c>
      <c r="C126" s="127" t="s">
        <v>264</v>
      </c>
      <c r="D126" s="130">
        <v>90832</v>
      </c>
      <c r="E126" s="137">
        <v>62058123</v>
      </c>
      <c r="F126" s="134">
        <v>61891810.82000005</v>
      </c>
      <c r="G126" s="141">
        <f t="shared" si="5"/>
        <v>166312.17999994755</v>
      </c>
      <c r="H126" s="145">
        <v>1767560</v>
      </c>
      <c r="I126" s="146">
        <v>0</v>
      </c>
      <c r="J126" s="34">
        <f t="shared" si="6"/>
        <v>19.459661793200635</v>
      </c>
      <c r="K126" s="47">
        <f t="shared" si="7"/>
        <v>0</v>
      </c>
      <c r="L126" s="45">
        <f t="shared" si="8"/>
        <v>2.8482330991544815</v>
      </c>
      <c r="M126" s="46">
        <f t="shared" si="9"/>
        <v>0</v>
      </c>
    </row>
    <row r="127" spans="1:13" ht="12.75">
      <c r="A127" s="123" t="s">
        <v>25</v>
      </c>
      <c r="B127" s="120" t="s">
        <v>138</v>
      </c>
      <c r="C127" s="127" t="s">
        <v>265</v>
      </c>
      <c r="D127" s="130">
        <v>106265</v>
      </c>
      <c r="E127" s="137">
        <v>77358197.55000001</v>
      </c>
      <c r="F127" s="134">
        <v>82417415.57000002</v>
      </c>
      <c r="G127" s="141">
        <f t="shared" si="5"/>
        <v>-5059218.020000011</v>
      </c>
      <c r="H127" s="145">
        <v>9894911.72</v>
      </c>
      <c r="I127" s="146">
        <v>0</v>
      </c>
      <c r="J127" s="34">
        <f t="shared" si="6"/>
        <v>93.11543518562085</v>
      </c>
      <c r="K127" s="47">
        <f t="shared" si="7"/>
        <v>0</v>
      </c>
      <c r="L127" s="45">
        <f t="shared" si="8"/>
        <v>12.79103189239186</v>
      </c>
      <c r="M127" s="46">
        <f t="shared" si="9"/>
        <v>0</v>
      </c>
    </row>
    <row r="128" spans="1:13" ht="12.75">
      <c r="A128" s="123" t="s">
        <v>25</v>
      </c>
      <c r="B128" s="120" t="s">
        <v>15</v>
      </c>
      <c r="C128" s="127" t="s">
        <v>266</v>
      </c>
      <c r="D128" s="130">
        <v>47052</v>
      </c>
      <c r="E128" s="137">
        <v>36351378.309999995</v>
      </c>
      <c r="F128" s="134">
        <v>34379752.470000036</v>
      </c>
      <c r="G128" s="141">
        <f t="shared" si="5"/>
        <v>1971625.8399999589</v>
      </c>
      <c r="H128" s="145">
        <v>0</v>
      </c>
      <c r="I128" s="146">
        <v>0</v>
      </c>
      <c r="J128" s="34">
        <f t="shared" si="6"/>
        <v>0</v>
      </c>
      <c r="K128" s="47">
        <f t="shared" si="7"/>
        <v>0</v>
      </c>
      <c r="L128" s="45">
        <f t="shared" si="8"/>
        <v>0</v>
      </c>
      <c r="M128" s="46">
        <f t="shared" si="9"/>
        <v>0</v>
      </c>
    </row>
    <row r="129" spans="1:13" ht="12.75">
      <c r="A129" s="123" t="s">
        <v>25</v>
      </c>
      <c r="B129" s="120" t="s">
        <v>141</v>
      </c>
      <c r="C129" s="127" t="s">
        <v>267</v>
      </c>
      <c r="D129" s="130">
        <v>78843</v>
      </c>
      <c r="E129" s="137">
        <v>65461378.589999996</v>
      </c>
      <c r="F129" s="134">
        <v>66171848.620000005</v>
      </c>
      <c r="G129" s="141">
        <f t="shared" si="5"/>
        <v>-710470.0300000086</v>
      </c>
      <c r="H129" s="145">
        <v>5399472.25</v>
      </c>
      <c r="I129" s="146">
        <v>0</v>
      </c>
      <c r="J129" s="34">
        <f t="shared" si="6"/>
        <v>68.48385081744733</v>
      </c>
      <c r="K129" s="47">
        <f t="shared" si="7"/>
        <v>0</v>
      </c>
      <c r="L129" s="45">
        <f t="shared" si="8"/>
        <v>8.248332629561874</v>
      </c>
      <c r="M129" s="46">
        <f t="shared" si="9"/>
        <v>0</v>
      </c>
    </row>
    <row r="130" spans="1:13" ht="12.75">
      <c r="A130" s="123" t="s">
        <v>25</v>
      </c>
      <c r="B130" s="120" t="s">
        <v>17</v>
      </c>
      <c r="C130" s="127" t="s">
        <v>268</v>
      </c>
      <c r="D130" s="130">
        <v>96564</v>
      </c>
      <c r="E130" s="137">
        <v>66625290.23000001</v>
      </c>
      <c r="F130" s="134">
        <v>68072440.31999996</v>
      </c>
      <c r="G130" s="141">
        <f t="shared" si="5"/>
        <v>-1447150.0899999514</v>
      </c>
      <c r="H130" s="145">
        <v>16537582.95</v>
      </c>
      <c r="I130" s="146">
        <v>0</v>
      </c>
      <c r="J130" s="34">
        <f t="shared" si="6"/>
        <v>171.26033459674412</v>
      </c>
      <c r="K130" s="47">
        <f t="shared" si="7"/>
        <v>0</v>
      </c>
      <c r="L130" s="45">
        <f t="shared" si="8"/>
        <v>24.821779977107646</v>
      </c>
      <c r="M130" s="46">
        <f t="shared" si="9"/>
        <v>0</v>
      </c>
    </row>
    <row r="131" spans="1:13" ht="12.75">
      <c r="A131" s="123" t="s">
        <v>25</v>
      </c>
      <c r="B131" s="120" t="s">
        <v>144</v>
      </c>
      <c r="C131" s="127" t="s">
        <v>269</v>
      </c>
      <c r="D131" s="130">
        <v>61576</v>
      </c>
      <c r="E131" s="137">
        <v>37464113.45000001</v>
      </c>
      <c r="F131" s="134">
        <v>37783244.65999999</v>
      </c>
      <c r="G131" s="141">
        <f t="shared" si="5"/>
        <v>-319131.20999997854</v>
      </c>
      <c r="H131" s="145">
        <v>6000000</v>
      </c>
      <c r="I131" s="146">
        <v>0</v>
      </c>
      <c r="J131" s="34">
        <f t="shared" si="6"/>
        <v>97.44056125763285</v>
      </c>
      <c r="K131" s="47">
        <f t="shared" si="7"/>
        <v>0</v>
      </c>
      <c r="L131" s="45">
        <f t="shared" si="8"/>
        <v>16.015326261510662</v>
      </c>
      <c r="M131" s="46">
        <f t="shared" si="9"/>
        <v>0</v>
      </c>
    </row>
    <row r="132" spans="1:13" ht="12.75">
      <c r="A132" s="123" t="s">
        <v>25</v>
      </c>
      <c r="B132" s="120" t="s">
        <v>19</v>
      </c>
      <c r="C132" s="127" t="s">
        <v>270</v>
      </c>
      <c r="D132" s="130">
        <v>97611</v>
      </c>
      <c r="E132" s="137">
        <v>58256698.14999999</v>
      </c>
      <c r="F132" s="134">
        <v>57681271.749999985</v>
      </c>
      <c r="G132" s="141">
        <f t="shared" si="5"/>
        <v>575426.400000006</v>
      </c>
      <c r="H132" s="145">
        <v>714000</v>
      </c>
      <c r="I132" s="146">
        <v>0</v>
      </c>
      <c r="J132" s="34">
        <f t="shared" si="6"/>
        <v>7.314749362264499</v>
      </c>
      <c r="K132" s="47">
        <f t="shared" si="7"/>
        <v>0</v>
      </c>
      <c r="L132" s="45">
        <f t="shared" si="8"/>
        <v>1.2256101404195359</v>
      </c>
      <c r="M132" s="46">
        <f t="shared" si="9"/>
        <v>0</v>
      </c>
    </row>
    <row r="133" spans="1:13" ht="12.75">
      <c r="A133" s="123" t="s">
        <v>25</v>
      </c>
      <c r="B133" s="120" t="s">
        <v>147</v>
      </c>
      <c r="C133" s="127" t="s">
        <v>271</v>
      </c>
      <c r="D133" s="130">
        <v>36610</v>
      </c>
      <c r="E133" s="137">
        <v>30908570.390000008</v>
      </c>
      <c r="F133" s="134">
        <v>30513962.300000012</v>
      </c>
      <c r="G133" s="141">
        <f t="shared" si="5"/>
        <v>394608.0899999961</v>
      </c>
      <c r="H133" s="145">
        <v>1168830</v>
      </c>
      <c r="I133" s="146">
        <v>0</v>
      </c>
      <c r="J133" s="34">
        <f t="shared" si="6"/>
        <v>31.926522807975964</v>
      </c>
      <c r="K133" s="47">
        <f t="shared" si="7"/>
        <v>0</v>
      </c>
      <c r="L133" s="45">
        <f t="shared" si="8"/>
        <v>3.7815725064338688</v>
      </c>
      <c r="M133" s="46">
        <f t="shared" si="9"/>
        <v>0</v>
      </c>
    </row>
    <row r="134" spans="1:13" ht="12.75">
      <c r="A134" s="123" t="s">
        <v>25</v>
      </c>
      <c r="B134" s="120" t="s">
        <v>21</v>
      </c>
      <c r="C134" s="127" t="s">
        <v>272</v>
      </c>
      <c r="D134" s="130">
        <v>32574</v>
      </c>
      <c r="E134" s="137">
        <v>22404463.119999997</v>
      </c>
      <c r="F134" s="134">
        <v>22220832.139999993</v>
      </c>
      <c r="G134" s="141">
        <f t="shared" si="5"/>
        <v>183630.98000000417</v>
      </c>
      <c r="H134" s="145">
        <v>2210641.8</v>
      </c>
      <c r="I134" s="146">
        <v>0</v>
      </c>
      <c r="J134" s="34">
        <f t="shared" si="6"/>
        <v>67.86522379812119</v>
      </c>
      <c r="K134" s="47">
        <f t="shared" si="7"/>
        <v>0</v>
      </c>
      <c r="L134" s="45">
        <f t="shared" si="8"/>
        <v>9.86697064848033</v>
      </c>
      <c r="M134" s="46">
        <f t="shared" si="9"/>
        <v>0</v>
      </c>
    </row>
    <row r="135" spans="1:13" ht="12.75">
      <c r="A135" s="123" t="s">
        <v>25</v>
      </c>
      <c r="B135" s="120" t="s">
        <v>150</v>
      </c>
      <c r="C135" s="127" t="s">
        <v>273</v>
      </c>
      <c r="D135" s="130">
        <v>46449</v>
      </c>
      <c r="E135" s="137">
        <v>34362132.93</v>
      </c>
      <c r="F135" s="134">
        <v>36259566.230000034</v>
      </c>
      <c r="G135" s="141">
        <f t="shared" si="5"/>
        <v>-1897433.3000000343</v>
      </c>
      <c r="H135" s="145">
        <v>5139463</v>
      </c>
      <c r="I135" s="146">
        <v>0</v>
      </c>
      <c r="J135" s="34">
        <f t="shared" si="6"/>
        <v>110.6474412796831</v>
      </c>
      <c r="K135" s="47">
        <f t="shared" si="7"/>
        <v>0</v>
      </c>
      <c r="L135" s="45">
        <f t="shared" si="8"/>
        <v>14.956763628351402</v>
      </c>
      <c r="M135" s="46">
        <f t="shared" si="9"/>
        <v>0</v>
      </c>
    </row>
    <row r="136" spans="1:13" ht="12.75">
      <c r="A136" s="123" t="s">
        <v>25</v>
      </c>
      <c r="B136" s="120" t="s">
        <v>23</v>
      </c>
      <c r="C136" s="127" t="s">
        <v>274</v>
      </c>
      <c r="D136" s="130">
        <v>141306</v>
      </c>
      <c r="E136" s="137">
        <v>89129634.56999998</v>
      </c>
      <c r="F136" s="134">
        <v>85451357.40999997</v>
      </c>
      <c r="G136" s="141">
        <f aca="true" t="shared" si="10" ref="G136:G199">E136-F136</f>
        <v>3678277.1600000113</v>
      </c>
      <c r="H136" s="145">
        <v>919829.8</v>
      </c>
      <c r="I136" s="146">
        <v>0</v>
      </c>
      <c r="J136" s="34">
        <f aca="true" t="shared" si="11" ref="J136:J199">H136/D136</f>
        <v>6.5094886275175865</v>
      </c>
      <c r="K136" s="47">
        <f aca="true" t="shared" si="12" ref="K136:K199">I136/D136</f>
        <v>0</v>
      </c>
      <c r="L136" s="45">
        <f aca="true" t="shared" si="13" ref="L136:L199">H136/E136*100</f>
        <v>1.0320134312652105</v>
      </c>
      <c r="M136" s="46">
        <f aca="true" t="shared" si="14" ref="M136:M199">I136/E136*100</f>
        <v>0</v>
      </c>
    </row>
    <row r="137" spans="1:13" ht="12.75">
      <c r="A137" s="123" t="s">
        <v>25</v>
      </c>
      <c r="B137" s="120" t="s">
        <v>153</v>
      </c>
      <c r="C137" s="127" t="s">
        <v>275</v>
      </c>
      <c r="D137" s="130">
        <v>73294</v>
      </c>
      <c r="E137" s="137">
        <v>44137237.93999999</v>
      </c>
      <c r="F137" s="134">
        <v>48773593.73000003</v>
      </c>
      <c r="G137" s="141">
        <f t="shared" si="10"/>
        <v>-4636355.790000036</v>
      </c>
      <c r="H137" s="145">
        <v>5575559.5</v>
      </c>
      <c r="I137" s="146">
        <v>0</v>
      </c>
      <c r="J137" s="34">
        <f t="shared" si="11"/>
        <v>76.07115862144241</v>
      </c>
      <c r="K137" s="47">
        <f t="shared" si="12"/>
        <v>0</v>
      </c>
      <c r="L137" s="45">
        <f t="shared" si="13"/>
        <v>12.632325356605678</v>
      </c>
      <c r="M137" s="46">
        <f t="shared" si="14"/>
        <v>0</v>
      </c>
    </row>
    <row r="138" spans="1:13" ht="12.75">
      <c r="A138" s="123" t="s">
        <v>25</v>
      </c>
      <c r="B138" s="120" t="s">
        <v>25</v>
      </c>
      <c r="C138" s="127" t="s">
        <v>276</v>
      </c>
      <c r="D138" s="130">
        <v>75783</v>
      </c>
      <c r="E138" s="137">
        <v>38565268.32</v>
      </c>
      <c r="F138" s="134">
        <v>39559541.61999998</v>
      </c>
      <c r="G138" s="141">
        <f t="shared" si="10"/>
        <v>-994273.2999999821</v>
      </c>
      <c r="H138" s="145">
        <v>0</v>
      </c>
      <c r="I138" s="146">
        <v>0</v>
      </c>
      <c r="J138" s="34">
        <f t="shared" si="11"/>
        <v>0</v>
      </c>
      <c r="K138" s="47">
        <f t="shared" si="12"/>
        <v>0</v>
      </c>
      <c r="L138" s="45">
        <f t="shared" si="13"/>
        <v>0</v>
      </c>
      <c r="M138" s="46">
        <f t="shared" si="14"/>
        <v>0</v>
      </c>
    </row>
    <row r="139" spans="1:13" ht="12.75">
      <c r="A139" s="123" t="s">
        <v>25</v>
      </c>
      <c r="B139" s="120" t="s">
        <v>156</v>
      </c>
      <c r="C139" s="127" t="s">
        <v>277</v>
      </c>
      <c r="D139" s="130">
        <v>84434</v>
      </c>
      <c r="E139" s="137">
        <v>44632732.20999999</v>
      </c>
      <c r="F139" s="134">
        <v>46220608.259999976</v>
      </c>
      <c r="G139" s="141">
        <f t="shared" si="10"/>
        <v>-1587876.0499999821</v>
      </c>
      <c r="H139" s="145">
        <v>10579603.89</v>
      </c>
      <c r="I139" s="146">
        <v>0</v>
      </c>
      <c r="J139" s="34">
        <f t="shared" si="11"/>
        <v>125.30028057417628</v>
      </c>
      <c r="K139" s="47">
        <f t="shared" si="12"/>
        <v>0</v>
      </c>
      <c r="L139" s="45">
        <f t="shared" si="13"/>
        <v>23.70368867454104</v>
      </c>
      <c r="M139" s="46">
        <f t="shared" si="14"/>
        <v>0</v>
      </c>
    </row>
    <row r="140" spans="1:13" ht="12.75">
      <c r="A140" s="123" t="s">
        <v>25</v>
      </c>
      <c r="B140" s="120" t="s">
        <v>27</v>
      </c>
      <c r="C140" s="127" t="s">
        <v>278</v>
      </c>
      <c r="D140" s="130">
        <v>74966</v>
      </c>
      <c r="E140" s="137">
        <v>45575937.919999994</v>
      </c>
      <c r="F140" s="134">
        <v>43746314.98</v>
      </c>
      <c r="G140" s="141">
        <f t="shared" si="10"/>
        <v>1829622.9399999976</v>
      </c>
      <c r="H140" s="145">
        <v>2253485.02</v>
      </c>
      <c r="I140" s="146">
        <v>13848.82</v>
      </c>
      <c r="J140" s="34">
        <f t="shared" si="11"/>
        <v>30.060094176026464</v>
      </c>
      <c r="K140" s="47">
        <f t="shared" si="12"/>
        <v>0.18473467972147373</v>
      </c>
      <c r="L140" s="45">
        <f t="shared" si="13"/>
        <v>4.944462193966408</v>
      </c>
      <c r="M140" s="46">
        <f t="shared" si="14"/>
        <v>0.030386253431161428</v>
      </c>
    </row>
    <row r="141" spans="1:13" ht="12.75">
      <c r="A141" s="123" t="s">
        <v>25</v>
      </c>
      <c r="B141" s="120" t="s">
        <v>159</v>
      </c>
      <c r="C141" s="127" t="s">
        <v>279</v>
      </c>
      <c r="D141" s="130">
        <v>116576</v>
      </c>
      <c r="E141" s="137">
        <v>72192474.75999999</v>
      </c>
      <c r="F141" s="134">
        <v>73033044.1600001</v>
      </c>
      <c r="G141" s="141">
        <f t="shared" si="10"/>
        <v>-840569.4000001103</v>
      </c>
      <c r="H141" s="145">
        <v>84304.64</v>
      </c>
      <c r="I141" s="146">
        <v>84304.64</v>
      </c>
      <c r="J141" s="34">
        <f t="shared" si="11"/>
        <v>0.7231732088937689</v>
      </c>
      <c r="K141" s="47">
        <f t="shared" si="12"/>
        <v>0.7231732088937689</v>
      </c>
      <c r="L141" s="45">
        <f t="shared" si="13"/>
        <v>0.11677760082372333</v>
      </c>
      <c r="M141" s="46">
        <f t="shared" si="14"/>
        <v>0.11677760082372333</v>
      </c>
    </row>
    <row r="142" spans="1:13" ht="12.75">
      <c r="A142" s="123" t="s">
        <v>25</v>
      </c>
      <c r="B142" s="120" t="s">
        <v>29</v>
      </c>
      <c r="C142" s="127" t="s">
        <v>280</v>
      </c>
      <c r="D142" s="130">
        <v>147047</v>
      </c>
      <c r="E142" s="137">
        <v>147940027.14</v>
      </c>
      <c r="F142" s="134">
        <v>146358875.12000012</v>
      </c>
      <c r="G142" s="141">
        <f t="shared" si="10"/>
        <v>1581152.0199998617</v>
      </c>
      <c r="H142" s="145">
        <v>22432000</v>
      </c>
      <c r="I142" s="146">
        <v>0</v>
      </c>
      <c r="J142" s="34">
        <f t="shared" si="11"/>
        <v>152.54986500914674</v>
      </c>
      <c r="K142" s="47">
        <f t="shared" si="12"/>
        <v>0</v>
      </c>
      <c r="L142" s="45">
        <f t="shared" si="13"/>
        <v>15.16290109827541</v>
      </c>
      <c r="M142" s="46">
        <f t="shared" si="14"/>
        <v>0</v>
      </c>
    </row>
    <row r="143" spans="1:13" ht="12.75">
      <c r="A143" s="123" t="s">
        <v>25</v>
      </c>
      <c r="B143" s="120" t="s">
        <v>162</v>
      </c>
      <c r="C143" s="127" t="s">
        <v>281</v>
      </c>
      <c r="D143" s="130">
        <v>106621</v>
      </c>
      <c r="E143" s="137">
        <v>65186669.88000002</v>
      </c>
      <c r="F143" s="134">
        <v>61741910.64999998</v>
      </c>
      <c r="G143" s="141">
        <f t="shared" si="10"/>
        <v>3444759.230000034</v>
      </c>
      <c r="H143" s="145">
        <v>17250283</v>
      </c>
      <c r="I143" s="146">
        <v>0</v>
      </c>
      <c r="J143" s="34">
        <f t="shared" si="11"/>
        <v>161.79066975548906</v>
      </c>
      <c r="K143" s="47">
        <f t="shared" si="12"/>
        <v>0</v>
      </c>
      <c r="L143" s="45">
        <f t="shared" si="13"/>
        <v>26.46289959550852</v>
      </c>
      <c r="M143" s="46">
        <f t="shared" si="14"/>
        <v>0</v>
      </c>
    </row>
    <row r="144" spans="1:13" ht="12.75">
      <c r="A144" s="123" t="s">
        <v>25</v>
      </c>
      <c r="B144" s="120" t="s">
        <v>31</v>
      </c>
      <c r="C144" s="127" t="s">
        <v>282</v>
      </c>
      <c r="D144" s="130">
        <v>87497</v>
      </c>
      <c r="E144" s="137">
        <v>59691458.849999994</v>
      </c>
      <c r="F144" s="134">
        <v>58770980.75000002</v>
      </c>
      <c r="G144" s="141">
        <f t="shared" si="10"/>
        <v>920478.0999999717</v>
      </c>
      <c r="H144" s="145">
        <v>8481322.36</v>
      </c>
      <c r="I144" s="146">
        <v>0</v>
      </c>
      <c r="J144" s="34">
        <f t="shared" si="11"/>
        <v>96.93272180760482</v>
      </c>
      <c r="K144" s="47">
        <f t="shared" si="12"/>
        <v>0</v>
      </c>
      <c r="L144" s="45">
        <f t="shared" si="13"/>
        <v>14.208602911369455</v>
      </c>
      <c r="M144" s="46">
        <f t="shared" si="14"/>
        <v>0</v>
      </c>
    </row>
    <row r="145" spans="1:13" ht="12.75">
      <c r="A145" s="123" t="s">
        <v>25</v>
      </c>
      <c r="B145" s="120" t="s">
        <v>165</v>
      </c>
      <c r="C145" s="127" t="s">
        <v>283</v>
      </c>
      <c r="D145" s="130">
        <v>146207</v>
      </c>
      <c r="E145" s="137">
        <v>97730718.75999999</v>
      </c>
      <c r="F145" s="134">
        <v>96420983.71999997</v>
      </c>
      <c r="G145" s="141">
        <f t="shared" si="10"/>
        <v>1309735.0400000215</v>
      </c>
      <c r="H145" s="145">
        <v>9510468.46</v>
      </c>
      <c r="I145" s="146">
        <v>10468.46</v>
      </c>
      <c r="J145" s="34">
        <f t="shared" si="11"/>
        <v>65.04796938587073</v>
      </c>
      <c r="K145" s="47">
        <f t="shared" si="12"/>
        <v>0.07160026537717072</v>
      </c>
      <c r="L145" s="45">
        <f t="shared" si="13"/>
        <v>9.731299002676035</v>
      </c>
      <c r="M145" s="46">
        <f t="shared" si="14"/>
        <v>0.010711534850887248</v>
      </c>
    </row>
    <row r="146" spans="1:13" ht="12.75">
      <c r="A146" s="123" t="s">
        <v>25</v>
      </c>
      <c r="B146" s="120" t="s">
        <v>33</v>
      </c>
      <c r="C146" s="127" t="s">
        <v>284</v>
      </c>
      <c r="D146" s="130">
        <v>52910</v>
      </c>
      <c r="E146" s="137">
        <v>46857128.97000001</v>
      </c>
      <c r="F146" s="134">
        <v>45043182.689999975</v>
      </c>
      <c r="G146" s="141">
        <f t="shared" si="10"/>
        <v>1813946.2800000384</v>
      </c>
      <c r="H146" s="145">
        <v>204910.34</v>
      </c>
      <c r="I146" s="146">
        <v>0</v>
      </c>
      <c r="J146" s="34">
        <f t="shared" si="11"/>
        <v>3.872809298809299</v>
      </c>
      <c r="K146" s="47">
        <f t="shared" si="12"/>
        <v>0</v>
      </c>
      <c r="L146" s="45">
        <f t="shared" si="13"/>
        <v>0.4373087820450813</v>
      </c>
      <c r="M146" s="46">
        <f t="shared" si="14"/>
        <v>0</v>
      </c>
    </row>
    <row r="147" spans="1:13" ht="12.75">
      <c r="A147" s="123" t="s">
        <v>25</v>
      </c>
      <c r="B147" s="120" t="s">
        <v>168</v>
      </c>
      <c r="C147" s="127" t="s">
        <v>285</v>
      </c>
      <c r="D147" s="130">
        <v>43731</v>
      </c>
      <c r="E147" s="137">
        <v>35581017.28999999</v>
      </c>
      <c r="F147" s="134">
        <v>33003368.509999998</v>
      </c>
      <c r="G147" s="141">
        <f t="shared" si="10"/>
        <v>2577648.7799999937</v>
      </c>
      <c r="H147" s="145">
        <v>7239101.43</v>
      </c>
      <c r="I147" s="146">
        <v>0</v>
      </c>
      <c r="J147" s="34">
        <f t="shared" si="11"/>
        <v>165.53706592577348</v>
      </c>
      <c r="K147" s="47">
        <f t="shared" si="12"/>
        <v>0</v>
      </c>
      <c r="L147" s="45">
        <f t="shared" si="13"/>
        <v>20.345403199122533</v>
      </c>
      <c r="M147" s="46">
        <f t="shared" si="14"/>
        <v>0</v>
      </c>
    </row>
    <row r="148" spans="1:13" ht="12.75">
      <c r="A148" s="123" t="s">
        <v>25</v>
      </c>
      <c r="B148" s="120" t="s">
        <v>35</v>
      </c>
      <c r="C148" s="127" t="s">
        <v>286</v>
      </c>
      <c r="D148" s="130">
        <v>51030</v>
      </c>
      <c r="E148" s="137">
        <v>49551811.33000001</v>
      </c>
      <c r="F148" s="134">
        <v>48577583.989999965</v>
      </c>
      <c r="G148" s="141">
        <f t="shared" si="10"/>
        <v>974227.3400000483</v>
      </c>
      <c r="H148" s="145">
        <v>8585722.16</v>
      </c>
      <c r="I148" s="146">
        <v>0</v>
      </c>
      <c r="J148" s="34">
        <f t="shared" si="11"/>
        <v>168.24852361356065</v>
      </c>
      <c r="K148" s="47">
        <f t="shared" si="12"/>
        <v>0</v>
      </c>
      <c r="L148" s="45">
        <f t="shared" si="13"/>
        <v>17.326757447516293</v>
      </c>
      <c r="M148" s="46">
        <f t="shared" si="14"/>
        <v>0</v>
      </c>
    </row>
    <row r="149" spans="1:13" ht="12.75">
      <c r="A149" s="123" t="s">
        <v>25</v>
      </c>
      <c r="B149" s="120" t="s">
        <v>171</v>
      </c>
      <c r="C149" s="127" t="s">
        <v>287</v>
      </c>
      <c r="D149" s="130">
        <v>145389</v>
      </c>
      <c r="E149" s="137">
        <v>76205308.81000002</v>
      </c>
      <c r="F149" s="134">
        <v>72964883.35000004</v>
      </c>
      <c r="G149" s="141">
        <f t="shared" si="10"/>
        <v>3240425.4599999785</v>
      </c>
      <c r="H149" s="145">
        <v>5900232.43</v>
      </c>
      <c r="I149" s="146">
        <v>0</v>
      </c>
      <c r="J149" s="34">
        <f t="shared" si="11"/>
        <v>40.58238539366802</v>
      </c>
      <c r="K149" s="47">
        <f t="shared" si="12"/>
        <v>0</v>
      </c>
      <c r="L149" s="45">
        <f t="shared" si="13"/>
        <v>7.742547759646036</v>
      </c>
      <c r="M149" s="46">
        <f t="shared" si="14"/>
        <v>0</v>
      </c>
    </row>
    <row r="150" spans="1:13" ht="12.75">
      <c r="A150" s="123" t="s">
        <v>25</v>
      </c>
      <c r="B150" s="120" t="s">
        <v>37</v>
      </c>
      <c r="C150" s="127" t="s">
        <v>288</v>
      </c>
      <c r="D150" s="130">
        <v>80516</v>
      </c>
      <c r="E150" s="137">
        <v>24664182.24</v>
      </c>
      <c r="F150" s="134">
        <v>23833993.92</v>
      </c>
      <c r="G150" s="141">
        <f t="shared" si="10"/>
        <v>830188.3199999966</v>
      </c>
      <c r="H150" s="145">
        <v>0</v>
      </c>
      <c r="I150" s="146">
        <v>0</v>
      </c>
      <c r="J150" s="34">
        <f t="shared" si="11"/>
        <v>0</v>
      </c>
      <c r="K150" s="47">
        <f t="shared" si="12"/>
        <v>0</v>
      </c>
      <c r="L150" s="45">
        <f t="shared" si="13"/>
        <v>0</v>
      </c>
      <c r="M150" s="46">
        <f t="shared" si="14"/>
        <v>0</v>
      </c>
    </row>
    <row r="151" spans="1:13" ht="12.75">
      <c r="A151" s="123" t="s">
        <v>25</v>
      </c>
      <c r="B151" s="120" t="s">
        <v>289</v>
      </c>
      <c r="C151" s="127" t="s">
        <v>290</v>
      </c>
      <c r="D151" s="130">
        <v>53756</v>
      </c>
      <c r="E151" s="137">
        <v>35981208.86000001</v>
      </c>
      <c r="F151" s="134">
        <v>38161242.089999996</v>
      </c>
      <c r="G151" s="141">
        <f t="shared" si="10"/>
        <v>-2180033.2299999893</v>
      </c>
      <c r="H151" s="145">
        <v>5177000</v>
      </c>
      <c r="I151" s="146">
        <v>0</v>
      </c>
      <c r="J151" s="34">
        <f t="shared" si="11"/>
        <v>96.30552868517003</v>
      </c>
      <c r="K151" s="47">
        <f t="shared" si="12"/>
        <v>0</v>
      </c>
      <c r="L151" s="45">
        <f t="shared" si="13"/>
        <v>14.388065782178947</v>
      </c>
      <c r="M151" s="46">
        <f t="shared" si="14"/>
        <v>0</v>
      </c>
    </row>
    <row r="152" spans="1:13" ht="12.75">
      <c r="A152" s="123" t="s">
        <v>25</v>
      </c>
      <c r="B152" s="120" t="s">
        <v>39</v>
      </c>
      <c r="C152" s="127" t="s">
        <v>291</v>
      </c>
      <c r="D152" s="130">
        <v>83485</v>
      </c>
      <c r="E152" s="137">
        <v>51815916.58999999</v>
      </c>
      <c r="F152" s="134">
        <v>49910598.52999999</v>
      </c>
      <c r="G152" s="141">
        <f t="shared" si="10"/>
        <v>1905318.0600000024</v>
      </c>
      <c r="H152" s="145">
        <v>9298122.99</v>
      </c>
      <c r="I152" s="146">
        <v>0</v>
      </c>
      <c r="J152" s="34">
        <f t="shared" si="11"/>
        <v>111.37477379169911</v>
      </c>
      <c r="K152" s="47">
        <f t="shared" si="12"/>
        <v>0</v>
      </c>
      <c r="L152" s="45">
        <f t="shared" si="13"/>
        <v>17.944530564947016</v>
      </c>
      <c r="M152" s="46">
        <f t="shared" si="14"/>
        <v>0</v>
      </c>
    </row>
    <row r="153" spans="1:13" ht="12.75">
      <c r="A153" s="123" t="s">
        <v>25</v>
      </c>
      <c r="B153" s="120" t="s">
        <v>292</v>
      </c>
      <c r="C153" s="127" t="s">
        <v>293</v>
      </c>
      <c r="D153" s="130">
        <v>56766</v>
      </c>
      <c r="E153" s="137">
        <v>40547910.5</v>
      </c>
      <c r="F153" s="134">
        <v>41769565.71999996</v>
      </c>
      <c r="G153" s="141">
        <f t="shared" si="10"/>
        <v>-1221655.2199999616</v>
      </c>
      <c r="H153" s="145">
        <v>13345085.39</v>
      </c>
      <c r="I153" s="146">
        <v>0</v>
      </c>
      <c r="J153" s="34">
        <f t="shared" si="11"/>
        <v>235.08940897720467</v>
      </c>
      <c r="K153" s="47">
        <f t="shared" si="12"/>
        <v>0</v>
      </c>
      <c r="L153" s="45">
        <f t="shared" si="13"/>
        <v>32.911894165298605</v>
      </c>
      <c r="M153" s="46">
        <f t="shared" si="14"/>
        <v>0</v>
      </c>
    </row>
    <row r="154" spans="1:13" ht="12.75">
      <c r="A154" s="123" t="s">
        <v>25</v>
      </c>
      <c r="B154" s="120" t="s">
        <v>41</v>
      </c>
      <c r="C154" s="127" t="s">
        <v>294</v>
      </c>
      <c r="D154" s="130">
        <v>40073</v>
      </c>
      <c r="E154" s="137">
        <v>22049414.75</v>
      </c>
      <c r="F154" s="134">
        <v>21383808.32999999</v>
      </c>
      <c r="G154" s="141">
        <f t="shared" si="10"/>
        <v>665606.4200000092</v>
      </c>
      <c r="H154" s="145">
        <v>1124546</v>
      </c>
      <c r="I154" s="146">
        <v>0</v>
      </c>
      <c r="J154" s="34">
        <f t="shared" si="11"/>
        <v>28.062436054201083</v>
      </c>
      <c r="K154" s="47">
        <f t="shared" si="12"/>
        <v>0</v>
      </c>
      <c r="L154" s="45">
        <f t="shared" si="13"/>
        <v>5.100117226467428</v>
      </c>
      <c r="M154" s="46">
        <f t="shared" si="14"/>
        <v>0</v>
      </c>
    </row>
    <row r="155" spans="1:13" ht="25.5">
      <c r="A155" s="123" t="s">
        <v>25</v>
      </c>
      <c r="B155" s="120" t="s">
        <v>43</v>
      </c>
      <c r="C155" s="127" t="s">
        <v>295</v>
      </c>
      <c r="D155" s="130">
        <v>101530</v>
      </c>
      <c r="E155" s="137">
        <v>83849774.52999999</v>
      </c>
      <c r="F155" s="134">
        <v>78276258.91999996</v>
      </c>
      <c r="G155" s="141">
        <f t="shared" si="10"/>
        <v>5573515.610000029</v>
      </c>
      <c r="H155" s="145">
        <v>3336704.4</v>
      </c>
      <c r="I155" s="146">
        <v>704.4</v>
      </c>
      <c r="J155" s="34">
        <f t="shared" si="11"/>
        <v>32.86422141239043</v>
      </c>
      <c r="K155" s="47">
        <f t="shared" si="12"/>
        <v>0.006937850881512853</v>
      </c>
      <c r="L155" s="45">
        <f t="shared" si="13"/>
        <v>3.9793838668059687</v>
      </c>
      <c r="M155" s="46">
        <f t="shared" si="14"/>
        <v>0.0008400738152825658</v>
      </c>
    </row>
    <row r="156" spans="1:13" ht="12.75">
      <c r="A156" s="123" t="s">
        <v>25</v>
      </c>
      <c r="B156" s="120" t="s">
        <v>296</v>
      </c>
      <c r="C156" s="127" t="s">
        <v>297</v>
      </c>
      <c r="D156" s="130">
        <v>67679</v>
      </c>
      <c r="E156" s="137">
        <v>42113027.88999999</v>
      </c>
      <c r="F156" s="134">
        <v>43762709.46999996</v>
      </c>
      <c r="G156" s="141">
        <f t="shared" si="10"/>
        <v>-1649681.5799999684</v>
      </c>
      <c r="H156" s="145">
        <v>14742102.13</v>
      </c>
      <c r="I156" s="146">
        <v>0</v>
      </c>
      <c r="J156" s="34">
        <f t="shared" si="11"/>
        <v>217.82387638706246</v>
      </c>
      <c r="K156" s="47">
        <f t="shared" si="12"/>
        <v>0</v>
      </c>
      <c r="L156" s="45">
        <f t="shared" si="13"/>
        <v>35.00603701188773</v>
      </c>
      <c r="M156" s="46">
        <f t="shared" si="14"/>
        <v>0</v>
      </c>
    </row>
    <row r="157" spans="1:13" ht="12.75">
      <c r="A157" s="123" t="s">
        <v>25</v>
      </c>
      <c r="B157" s="120" t="s">
        <v>298</v>
      </c>
      <c r="C157" s="127" t="s">
        <v>299</v>
      </c>
      <c r="D157" s="130">
        <v>203749</v>
      </c>
      <c r="E157" s="137">
        <v>91585599.41000004</v>
      </c>
      <c r="F157" s="134">
        <v>91135238.18999998</v>
      </c>
      <c r="G157" s="141">
        <f t="shared" si="10"/>
        <v>450361.2200000584</v>
      </c>
      <c r="H157" s="145">
        <v>17434099.31</v>
      </c>
      <c r="I157" s="146">
        <v>50</v>
      </c>
      <c r="J157" s="34">
        <f t="shared" si="11"/>
        <v>85.56655154135726</v>
      </c>
      <c r="K157" s="47">
        <f t="shared" si="12"/>
        <v>0.0002453999774232021</v>
      </c>
      <c r="L157" s="45">
        <f t="shared" si="13"/>
        <v>19.035852167056305</v>
      </c>
      <c r="M157" s="46">
        <f t="shared" si="14"/>
        <v>5.459373561138762E-05</v>
      </c>
    </row>
    <row r="158" spans="1:13" ht="12.75">
      <c r="A158" s="123" t="s">
        <v>25</v>
      </c>
      <c r="B158" s="120" t="s">
        <v>300</v>
      </c>
      <c r="C158" s="127" t="s">
        <v>301</v>
      </c>
      <c r="D158" s="130">
        <v>71747</v>
      </c>
      <c r="E158" s="137">
        <v>49621533.13999999</v>
      </c>
      <c r="F158" s="134">
        <v>48963355.75999996</v>
      </c>
      <c r="G158" s="141">
        <f t="shared" si="10"/>
        <v>658177.3800000325</v>
      </c>
      <c r="H158" s="145">
        <v>5369209.75</v>
      </c>
      <c r="I158" s="146">
        <v>0</v>
      </c>
      <c r="J158" s="34">
        <f t="shared" si="11"/>
        <v>74.83532064058427</v>
      </c>
      <c r="K158" s="47">
        <f t="shared" si="12"/>
        <v>0</v>
      </c>
      <c r="L158" s="45">
        <f t="shared" si="13"/>
        <v>10.82032216709538</v>
      </c>
      <c r="M158" s="46">
        <f t="shared" si="14"/>
        <v>0</v>
      </c>
    </row>
    <row r="159" spans="1:13" ht="12.75">
      <c r="A159" s="123" t="s">
        <v>25</v>
      </c>
      <c r="B159" s="120" t="s">
        <v>302</v>
      </c>
      <c r="C159" s="127" t="s">
        <v>303</v>
      </c>
      <c r="D159" s="130">
        <v>37133</v>
      </c>
      <c r="E159" s="137">
        <v>21066930.420000006</v>
      </c>
      <c r="F159" s="134">
        <v>20870558.630000003</v>
      </c>
      <c r="G159" s="141">
        <f t="shared" si="10"/>
        <v>196371.79000000283</v>
      </c>
      <c r="H159" s="145">
        <v>2458847.97</v>
      </c>
      <c r="I159" s="146">
        <v>0</v>
      </c>
      <c r="J159" s="34">
        <f t="shared" si="11"/>
        <v>66.21732609807988</v>
      </c>
      <c r="K159" s="47">
        <f t="shared" si="12"/>
        <v>0</v>
      </c>
      <c r="L159" s="45">
        <f t="shared" si="13"/>
        <v>11.671600565337602</v>
      </c>
      <c r="M159" s="46">
        <f t="shared" si="14"/>
        <v>0</v>
      </c>
    </row>
    <row r="160" spans="1:13" ht="12.75">
      <c r="A160" s="123" t="s">
        <v>25</v>
      </c>
      <c r="B160" s="120" t="s">
        <v>304</v>
      </c>
      <c r="C160" s="127" t="s">
        <v>305</v>
      </c>
      <c r="D160" s="130">
        <v>40075</v>
      </c>
      <c r="E160" s="137">
        <v>28106929.820000004</v>
      </c>
      <c r="F160" s="134">
        <v>27597776.659999985</v>
      </c>
      <c r="G160" s="141">
        <f t="shared" si="10"/>
        <v>509153.1600000188</v>
      </c>
      <c r="H160" s="145">
        <v>751600</v>
      </c>
      <c r="I160" s="146">
        <v>0</v>
      </c>
      <c r="J160" s="34">
        <f t="shared" si="11"/>
        <v>18.75483468496569</v>
      </c>
      <c r="K160" s="47">
        <f t="shared" si="12"/>
        <v>0</v>
      </c>
      <c r="L160" s="45">
        <f t="shared" si="13"/>
        <v>2.674073635268357</v>
      </c>
      <c r="M160" s="46">
        <f t="shared" si="14"/>
        <v>0</v>
      </c>
    </row>
    <row r="161" spans="1:13" ht="12.75">
      <c r="A161" s="123" t="s">
        <v>25</v>
      </c>
      <c r="B161" s="120" t="s">
        <v>306</v>
      </c>
      <c r="C161" s="127" t="s">
        <v>307</v>
      </c>
      <c r="D161" s="130">
        <v>74619</v>
      </c>
      <c r="E161" s="137">
        <v>48724519.24</v>
      </c>
      <c r="F161" s="134">
        <v>43771175.87999996</v>
      </c>
      <c r="G161" s="141">
        <f t="shared" si="10"/>
        <v>4953343.360000044</v>
      </c>
      <c r="H161" s="145">
        <v>17312251.88</v>
      </c>
      <c r="I161" s="146">
        <v>0</v>
      </c>
      <c r="J161" s="34">
        <f t="shared" si="11"/>
        <v>232.0086289014862</v>
      </c>
      <c r="K161" s="47">
        <f t="shared" si="12"/>
        <v>0</v>
      </c>
      <c r="L161" s="45">
        <f t="shared" si="13"/>
        <v>35.530882910769996</v>
      </c>
      <c r="M161" s="46">
        <f t="shared" si="14"/>
        <v>0</v>
      </c>
    </row>
    <row r="162" spans="1:13" ht="12.75">
      <c r="A162" s="123" t="s">
        <v>27</v>
      </c>
      <c r="B162" s="120" t="s">
        <v>135</v>
      </c>
      <c r="C162" s="127" t="s">
        <v>245</v>
      </c>
      <c r="D162" s="130">
        <v>92261</v>
      </c>
      <c r="E162" s="137">
        <v>62507408.489999995</v>
      </c>
      <c r="F162" s="134">
        <v>59582305.82999999</v>
      </c>
      <c r="G162" s="141">
        <f t="shared" si="10"/>
        <v>2925102.660000004</v>
      </c>
      <c r="H162" s="145">
        <v>3593595.8</v>
      </c>
      <c r="I162" s="146">
        <v>24176.15</v>
      </c>
      <c r="J162" s="34">
        <f t="shared" si="11"/>
        <v>38.95032353865663</v>
      </c>
      <c r="K162" s="47">
        <f t="shared" si="12"/>
        <v>0.2620408406585665</v>
      </c>
      <c r="L162" s="45">
        <f t="shared" si="13"/>
        <v>5.749071808943907</v>
      </c>
      <c r="M162" s="46">
        <f t="shared" si="14"/>
        <v>0.038677255359047126</v>
      </c>
    </row>
    <row r="163" spans="1:13" ht="12.75">
      <c r="A163" s="123" t="s">
        <v>27</v>
      </c>
      <c r="B163" s="120" t="s">
        <v>13</v>
      </c>
      <c r="C163" s="127" t="s">
        <v>308</v>
      </c>
      <c r="D163" s="130">
        <v>50146</v>
      </c>
      <c r="E163" s="137">
        <v>41940582.65</v>
      </c>
      <c r="F163" s="134">
        <v>45759813.82999999</v>
      </c>
      <c r="G163" s="141">
        <f t="shared" si="10"/>
        <v>-3819231.1799999923</v>
      </c>
      <c r="H163" s="145">
        <v>9541543.47</v>
      </c>
      <c r="I163" s="146">
        <v>0</v>
      </c>
      <c r="J163" s="34">
        <f t="shared" si="11"/>
        <v>190.27526562437683</v>
      </c>
      <c r="K163" s="47">
        <f t="shared" si="12"/>
        <v>0</v>
      </c>
      <c r="L163" s="45">
        <f t="shared" si="13"/>
        <v>22.750145246253513</v>
      </c>
      <c r="M163" s="46">
        <f t="shared" si="14"/>
        <v>0</v>
      </c>
    </row>
    <row r="164" spans="1:13" ht="25.5">
      <c r="A164" s="123" t="s">
        <v>27</v>
      </c>
      <c r="B164" s="120" t="s">
        <v>138</v>
      </c>
      <c r="C164" s="127" t="s">
        <v>309</v>
      </c>
      <c r="D164" s="130">
        <v>101924</v>
      </c>
      <c r="E164" s="137">
        <v>63138880.49999998</v>
      </c>
      <c r="F164" s="134">
        <v>59296196.370000035</v>
      </c>
      <c r="G164" s="141">
        <f t="shared" si="10"/>
        <v>3842684.129999943</v>
      </c>
      <c r="H164" s="145">
        <v>2322724</v>
      </c>
      <c r="I164" s="146">
        <v>0</v>
      </c>
      <c r="J164" s="34">
        <f t="shared" si="11"/>
        <v>22.78878379969389</v>
      </c>
      <c r="K164" s="47">
        <f t="shared" si="12"/>
        <v>0</v>
      </c>
      <c r="L164" s="45">
        <f t="shared" si="13"/>
        <v>3.678753854370289</v>
      </c>
      <c r="M164" s="46">
        <f t="shared" si="14"/>
        <v>0</v>
      </c>
    </row>
    <row r="165" spans="1:13" ht="12.75">
      <c r="A165" s="123" t="s">
        <v>27</v>
      </c>
      <c r="B165" s="120" t="s">
        <v>15</v>
      </c>
      <c r="C165" s="127" t="s">
        <v>310</v>
      </c>
      <c r="D165" s="130">
        <v>69821</v>
      </c>
      <c r="E165" s="137">
        <v>47023443.620000005</v>
      </c>
      <c r="F165" s="134">
        <v>50146912.910000004</v>
      </c>
      <c r="G165" s="141">
        <f t="shared" si="10"/>
        <v>-3123469.289999999</v>
      </c>
      <c r="H165" s="145">
        <v>26931945.71</v>
      </c>
      <c r="I165" s="146">
        <v>836.32</v>
      </c>
      <c r="J165" s="34">
        <f t="shared" si="11"/>
        <v>385.7284443075865</v>
      </c>
      <c r="K165" s="47">
        <f t="shared" si="12"/>
        <v>0.011978058177339197</v>
      </c>
      <c r="L165" s="45">
        <f t="shared" si="13"/>
        <v>57.273444130632136</v>
      </c>
      <c r="M165" s="46">
        <f t="shared" si="14"/>
        <v>0.0017785171302177806</v>
      </c>
    </row>
    <row r="166" spans="1:13" ht="12.75">
      <c r="A166" s="123" t="s">
        <v>27</v>
      </c>
      <c r="B166" s="120" t="s">
        <v>141</v>
      </c>
      <c r="C166" s="127" t="s">
        <v>311</v>
      </c>
      <c r="D166" s="130">
        <v>67741</v>
      </c>
      <c r="E166" s="137">
        <v>29573778.19</v>
      </c>
      <c r="F166" s="134">
        <v>32999372.31999999</v>
      </c>
      <c r="G166" s="141">
        <f t="shared" si="10"/>
        <v>-3425594.129999988</v>
      </c>
      <c r="H166" s="145">
        <v>0</v>
      </c>
      <c r="I166" s="146">
        <v>0</v>
      </c>
      <c r="J166" s="34">
        <f t="shared" si="11"/>
        <v>0</v>
      </c>
      <c r="K166" s="47">
        <f t="shared" si="12"/>
        <v>0</v>
      </c>
      <c r="L166" s="45">
        <f t="shared" si="13"/>
        <v>0</v>
      </c>
      <c r="M166" s="46">
        <f t="shared" si="14"/>
        <v>0</v>
      </c>
    </row>
    <row r="167" spans="1:13" ht="12.75">
      <c r="A167" s="123" t="s">
        <v>27</v>
      </c>
      <c r="B167" s="120" t="s">
        <v>17</v>
      </c>
      <c r="C167" s="127" t="s">
        <v>312</v>
      </c>
      <c r="D167" s="130">
        <v>44012</v>
      </c>
      <c r="E167" s="137">
        <v>35607921.779999994</v>
      </c>
      <c r="F167" s="134">
        <v>36675561.59</v>
      </c>
      <c r="G167" s="141">
        <f t="shared" si="10"/>
        <v>-1067639.8100000098</v>
      </c>
      <c r="H167" s="145">
        <v>7325621</v>
      </c>
      <c r="I167" s="146">
        <v>0</v>
      </c>
      <c r="J167" s="34">
        <f t="shared" si="11"/>
        <v>166.4459920021812</v>
      </c>
      <c r="K167" s="47">
        <f t="shared" si="12"/>
        <v>0</v>
      </c>
      <c r="L167" s="45">
        <f t="shared" si="13"/>
        <v>20.573009133362575</v>
      </c>
      <c r="M167" s="46">
        <f t="shared" si="14"/>
        <v>0</v>
      </c>
    </row>
    <row r="168" spans="1:13" ht="12.75">
      <c r="A168" s="123" t="s">
        <v>27</v>
      </c>
      <c r="B168" s="120" t="s">
        <v>144</v>
      </c>
      <c r="C168" s="127" t="s">
        <v>313</v>
      </c>
      <c r="D168" s="130">
        <v>145512</v>
      </c>
      <c r="E168" s="137">
        <v>97200361.30000006</v>
      </c>
      <c r="F168" s="134">
        <v>90781256.68999994</v>
      </c>
      <c r="G168" s="141">
        <f t="shared" si="10"/>
        <v>6419104.610000119</v>
      </c>
      <c r="H168" s="145">
        <v>1090545.29</v>
      </c>
      <c r="I168" s="146">
        <v>0</v>
      </c>
      <c r="J168" s="34">
        <f t="shared" si="11"/>
        <v>7.494538526032217</v>
      </c>
      <c r="K168" s="47">
        <f t="shared" si="12"/>
        <v>0</v>
      </c>
      <c r="L168" s="45">
        <f t="shared" si="13"/>
        <v>1.121956004498925</v>
      </c>
      <c r="M168" s="46">
        <f t="shared" si="14"/>
        <v>0</v>
      </c>
    </row>
    <row r="169" spans="1:13" ht="12.75">
      <c r="A169" s="123" t="s">
        <v>27</v>
      </c>
      <c r="B169" s="120" t="s">
        <v>19</v>
      </c>
      <c r="C169" s="127" t="s">
        <v>314</v>
      </c>
      <c r="D169" s="130">
        <v>67998</v>
      </c>
      <c r="E169" s="137">
        <v>42252720.83000001</v>
      </c>
      <c r="F169" s="134">
        <v>40881949.079999976</v>
      </c>
      <c r="G169" s="141">
        <f t="shared" si="10"/>
        <v>1370771.7500000373</v>
      </c>
      <c r="H169" s="145">
        <v>3058484</v>
      </c>
      <c r="I169" s="146">
        <v>0</v>
      </c>
      <c r="J169" s="34">
        <f t="shared" si="11"/>
        <v>44.979028794964556</v>
      </c>
      <c r="K169" s="47">
        <f t="shared" si="12"/>
        <v>0</v>
      </c>
      <c r="L169" s="45">
        <f t="shared" si="13"/>
        <v>7.238549234037572</v>
      </c>
      <c r="M169" s="46">
        <f t="shared" si="14"/>
        <v>0</v>
      </c>
    </row>
    <row r="170" spans="1:13" ht="12.75">
      <c r="A170" s="123" t="s">
        <v>27</v>
      </c>
      <c r="B170" s="120" t="s">
        <v>147</v>
      </c>
      <c r="C170" s="127" t="s">
        <v>204</v>
      </c>
      <c r="D170" s="130">
        <v>134739</v>
      </c>
      <c r="E170" s="137">
        <v>51765796.79999998</v>
      </c>
      <c r="F170" s="134">
        <v>48769075.540000014</v>
      </c>
      <c r="G170" s="141">
        <f t="shared" si="10"/>
        <v>2996721.259999968</v>
      </c>
      <c r="H170" s="145">
        <v>4551439.26</v>
      </c>
      <c r="I170" s="146">
        <v>1438.98</v>
      </c>
      <c r="J170" s="34">
        <f t="shared" si="11"/>
        <v>33.77967225524903</v>
      </c>
      <c r="K170" s="47">
        <f t="shared" si="12"/>
        <v>0.01067975864449046</v>
      </c>
      <c r="L170" s="45">
        <f t="shared" si="13"/>
        <v>8.792367820753801</v>
      </c>
      <c r="M170" s="46">
        <f t="shared" si="14"/>
        <v>0.002779789144480049</v>
      </c>
    </row>
    <row r="171" spans="1:13" ht="12.75">
      <c r="A171" s="123" t="s">
        <v>27</v>
      </c>
      <c r="B171" s="120" t="s">
        <v>21</v>
      </c>
      <c r="C171" s="127" t="s">
        <v>315</v>
      </c>
      <c r="D171" s="130">
        <v>59764</v>
      </c>
      <c r="E171" s="137">
        <v>36122834.10999999</v>
      </c>
      <c r="F171" s="134">
        <v>35856386.00000001</v>
      </c>
      <c r="G171" s="141">
        <f t="shared" si="10"/>
        <v>266448.1099999845</v>
      </c>
      <c r="H171" s="145">
        <v>12643126.79</v>
      </c>
      <c r="I171" s="146">
        <v>459.79</v>
      </c>
      <c r="J171" s="34">
        <f t="shared" si="11"/>
        <v>211.55087996118064</v>
      </c>
      <c r="K171" s="47">
        <f t="shared" si="12"/>
        <v>0.007693427481426946</v>
      </c>
      <c r="L171" s="45">
        <f t="shared" si="13"/>
        <v>35.00037331373168</v>
      </c>
      <c r="M171" s="46">
        <f t="shared" si="14"/>
        <v>0.0012728514008614707</v>
      </c>
    </row>
    <row r="172" spans="1:13" ht="12.75">
      <c r="A172" s="123" t="s">
        <v>27</v>
      </c>
      <c r="B172" s="120" t="s">
        <v>150</v>
      </c>
      <c r="C172" s="127" t="s">
        <v>316</v>
      </c>
      <c r="D172" s="130">
        <v>80421</v>
      </c>
      <c r="E172" s="137">
        <v>49570633.93</v>
      </c>
      <c r="F172" s="134">
        <v>46634019.19999995</v>
      </c>
      <c r="G172" s="141">
        <f t="shared" si="10"/>
        <v>2936614.730000049</v>
      </c>
      <c r="H172" s="145">
        <v>4515849</v>
      </c>
      <c r="I172" s="146">
        <v>0</v>
      </c>
      <c r="J172" s="34">
        <f t="shared" si="11"/>
        <v>56.15260939306897</v>
      </c>
      <c r="K172" s="47">
        <f t="shared" si="12"/>
        <v>0</v>
      </c>
      <c r="L172" s="45">
        <f t="shared" si="13"/>
        <v>9.10992787862457</v>
      </c>
      <c r="M172" s="46">
        <f t="shared" si="14"/>
        <v>0</v>
      </c>
    </row>
    <row r="173" spans="1:13" ht="12.75">
      <c r="A173" s="123" t="s">
        <v>29</v>
      </c>
      <c r="B173" s="120" t="s">
        <v>135</v>
      </c>
      <c r="C173" s="127" t="s">
        <v>317</v>
      </c>
      <c r="D173" s="130">
        <v>22184</v>
      </c>
      <c r="E173" s="137">
        <v>26990620.719999995</v>
      </c>
      <c r="F173" s="134">
        <v>28580040.110000014</v>
      </c>
      <c r="G173" s="141">
        <f t="shared" si="10"/>
        <v>-1589419.3900000192</v>
      </c>
      <c r="H173" s="145">
        <v>10751889</v>
      </c>
      <c r="I173" s="146">
        <v>0</v>
      </c>
      <c r="J173" s="34">
        <f t="shared" si="11"/>
        <v>484.6686350522899</v>
      </c>
      <c r="K173" s="47">
        <f t="shared" si="12"/>
        <v>0</v>
      </c>
      <c r="L173" s="45">
        <f t="shared" si="13"/>
        <v>39.835649248454935</v>
      </c>
      <c r="M173" s="46">
        <f t="shared" si="14"/>
        <v>0</v>
      </c>
    </row>
    <row r="174" spans="1:13" ht="12.75">
      <c r="A174" s="123" t="s">
        <v>29</v>
      </c>
      <c r="B174" s="120" t="s">
        <v>13</v>
      </c>
      <c r="C174" s="127" t="s">
        <v>318</v>
      </c>
      <c r="D174" s="130">
        <v>65228</v>
      </c>
      <c r="E174" s="137">
        <v>37486810.910000004</v>
      </c>
      <c r="F174" s="134">
        <v>36309939.02000002</v>
      </c>
      <c r="G174" s="141">
        <f t="shared" si="10"/>
        <v>1176871.8899999857</v>
      </c>
      <c r="H174" s="145">
        <v>3595537</v>
      </c>
      <c r="I174" s="146">
        <v>0</v>
      </c>
      <c r="J174" s="34">
        <f t="shared" si="11"/>
        <v>55.122600723615626</v>
      </c>
      <c r="K174" s="47">
        <f t="shared" si="12"/>
        <v>0</v>
      </c>
      <c r="L174" s="45">
        <f t="shared" si="13"/>
        <v>9.591472074357897</v>
      </c>
      <c r="M174" s="46">
        <f t="shared" si="14"/>
        <v>0</v>
      </c>
    </row>
    <row r="175" spans="1:13" ht="12.75">
      <c r="A175" s="123" t="s">
        <v>29</v>
      </c>
      <c r="B175" s="120" t="s">
        <v>138</v>
      </c>
      <c r="C175" s="127" t="s">
        <v>319</v>
      </c>
      <c r="D175" s="130">
        <v>132490</v>
      </c>
      <c r="E175" s="137">
        <v>86124627.17000002</v>
      </c>
      <c r="F175" s="134">
        <v>78782205.31999993</v>
      </c>
      <c r="G175" s="141">
        <f t="shared" si="10"/>
        <v>7342421.850000083</v>
      </c>
      <c r="H175" s="145">
        <v>10353198.41</v>
      </c>
      <c r="I175" s="146">
        <v>0</v>
      </c>
      <c r="J175" s="34">
        <f t="shared" si="11"/>
        <v>78.14324409389388</v>
      </c>
      <c r="K175" s="47">
        <f t="shared" si="12"/>
        <v>0</v>
      </c>
      <c r="L175" s="45">
        <f t="shared" si="13"/>
        <v>12.021182268300551</v>
      </c>
      <c r="M175" s="46">
        <f t="shared" si="14"/>
        <v>0</v>
      </c>
    </row>
    <row r="176" spans="1:13" ht="12.75">
      <c r="A176" s="123" t="s">
        <v>29</v>
      </c>
      <c r="B176" s="120" t="s">
        <v>15</v>
      </c>
      <c r="C176" s="127" t="s">
        <v>320</v>
      </c>
      <c r="D176" s="130">
        <v>122072</v>
      </c>
      <c r="E176" s="137">
        <v>89309787.37999998</v>
      </c>
      <c r="F176" s="134">
        <v>86635726.19</v>
      </c>
      <c r="G176" s="141">
        <f t="shared" si="10"/>
        <v>2674061.1899999827</v>
      </c>
      <c r="H176" s="145">
        <v>12700000</v>
      </c>
      <c r="I176" s="146">
        <v>0</v>
      </c>
      <c r="J176" s="34">
        <f t="shared" si="11"/>
        <v>104.03696179304018</v>
      </c>
      <c r="K176" s="47">
        <f t="shared" si="12"/>
        <v>0</v>
      </c>
      <c r="L176" s="45">
        <f t="shared" si="13"/>
        <v>14.220165977960928</v>
      </c>
      <c r="M176" s="46">
        <f t="shared" si="14"/>
        <v>0</v>
      </c>
    </row>
    <row r="177" spans="1:13" ht="12.75">
      <c r="A177" s="123" t="s">
        <v>29</v>
      </c>
      <c r="B177" s="120" t="s">
        <v>141</v>
      </c>
      <c r="C177" s="127" t="s">
        <v>321</v>
      </c>
      <c r="D177" s="130">
        <v>114997</v>
      </c>
      <c r="E177" s="137">
        <v>79681855.43999995</v>
      </c>
      <c r="F177" s="134">
        <v>79731086.89000002</v>
      </c>
      <c r="G177" s="141">
        <f t="shared" si="10"/>
        <v>-49231.450000062585</v>
      </c>
      <c r="H177" s="145">
        <v>9946090.56</v>
      </c>
      <c r="I177" s="146">
        <v>0</v>
      </c>
      <c r="J177" s="34">
        <f t="shared" si="11"/>
        <v>86.49000026087637</v>
      </c>
      <c r="K177" s="47">
        <f t="shared" si="12"/>
        <v>0</v>
      </c>
      <c r="L177" s="45">
        <f t="shared" si="13"/>
        <v>12.482252709952716</v>
      </c>
      <c r="M177" s="46">
        <f t="shared" si="14"/>
        <v>0</v>
      </c>
    </row>
    <row r="178" spans="1:13" ht="12.75">
      <c r="A178" s="123" t="s">
        <v>29</v>
      </c>
      <c r="B178" s="120" t="s">
        <v>17</v>
      </c>
      <c r="C178" s="127" t="s">
        <v>322</v>
      </c>
      <c r="D178" s="130">
        <v>61388</v>
      </c>
      <c r="E178" s="137">
        <v>29974086.349999998</v>
      </c>
      <c r="F178" s="134">
        <v>29087593.88000001</v>
      </c>
      <c r="G178" s="141">
        <f t="shared" si="10"/>
        <v>886492.4699999876</v>
      </c>
      <c r="H178" s="145">
        <v>8391201.12</v>
      </c>
      <c r="I178" s="146">
        <v>0</v>
      </c>
      <c r="J178" s="34">
        <f t="shared" si="11"/>
        <v>136.69122825307878</v>
      </c>
      <c r="K178" s="47">
        <f t="shared" si="12"/>
        <v>0</v>
      </c>
      <c r="L178" s="45">
        <f t="shared" si="13"/>
        <v>27.994852026573945</v>
      </c>
      <c r="M178" s="46">
        <f t="shared" si="14"/>
        <v>0</v>
      </c>
    </row>
    <row r="179" spans="1:13" ht="12.75">
      <c r="A179" s="123" t="s">
        <v>29</v>
      </c>
      <c r="B179" s="120" t="s">
        <v>144</v>
      </c>
      <c r="C179" s="127" t="s">
        <v>213</v>
      </c>
      <c r="D179" s="130">
        <v>109749</v>
      </c>
      <c r="E179" s="137">
        <v>48794184.74</v>
      </c>
      <c r="F179" s="134">
        <v>46565630.01000001</v>
      </c>
      <c r="G179" s="141">
        <f t="shared" si="10"/>
        <v>2228554.7299999893</v>
      </c>
      <c r="H179" s="145">
        <v>5051134.98</v>
      </c>
      <c r="I179" s="146">
        <v>1134.98</v>
      </c>
      <c r="J179" s="34">
        <f t="shared" si="11"/>
        <v>46.02442828636252</v>
      </c>
      <c r="K179" s="47">
        <f t="shared" si="12"/>
        <v>0.010341597645536634</v>
      </c>
      <c r="L179" s="45">
        <f t="shared" si="13"/>
        <v>10.351920022672768</v>
      </c>
      <c r="M179" s="46">
        <f t="shared" si="14"/>
        <v>0.002326055873354059</v>
      </c>
    </row>
    <row r="180" spans="1:13" ht="12.75">
      <c r="A180" s="123" t="s">
        <v>29</v>
      </c>
      <c r="B180" s="120" t="s">
        <v>19</v>
      </c>
      <c r="C180" s="127" t="s">
        <v>323</v>
      </c>
      <c r="D180" s="130">
        <v>69202</v>
      </c>
      <c r="E180" s="137">
        <v>54920169.12000001</v>
      </c>
      <c r="F180" s="134">
        <v>52765416.979999974</v>
      </c>
      <c r="G180" s="141">
        <f t="shared" si="10"/>
        <v>2154752.140000038</v>
      </c>
      <c r="H180" s="145">
        <v>3174092.46</v>
      </c>
      <c r="I180" s="146">
        <v>0</v>
      </c>
      <c r="J180" s="34">
        <f t="shared" si="11"/>
        <v>45.86706251264414</v>
      </c>
      <c r="K180" s="47">
        <f t="shared" si="12"/>
        <v>0</v>
      </c>
      <c r="L180" s="45">
        <f t="shared" si="13"/>
        <v>5.779465924557953</v>
      </c>
      <c r="M180" s="46">
        <f t="shared" si="14"/>
        <v>0</v>
      </c>
    </row>
    <row r="181" spans="1:13" ht="12.75">
      <c r="A181" s="123" t="s">
        <v>29</v>
      </c>
      <c r="B181" s="120" t="s">
        <v>147</v>
      </c>
      <c r="C181" s="127" t="s">
        <v>324</v>
      </c>
      <c r="D181" s="130">
        <v>57022</v>
      </c>
      <c r="E181" s="137">
        <v>53598443.79</v>
      </c>
      <c r="F181" s="134">
        <v>54781293.81000002</v>
      </c>
      <c r="G181" s="141">
        <f t="shared" si="10"/>
        <v>-1182850.0200000182</v>
      </c>
      <c r="H181" s="145">
        <v>18002256.2</v>
      </c>
      <c r="I181" s="146">
        <v>1293.8</v>
      </c>
      <c r="J181" s="34">
        <f t="shared" si="11"/>
        <v>315.70720423696116</v>
      </c>
      <c r="K181" s="47">
        <f t="shared" si="12"/>
        <v>0.022689488267686155</v>
      </c>
      <c r="L181" s="45">
        <f t="shared" si="13"/>
        <v>33.58727404574147</v>
      </c>
      <c r="M181" s="46">
        <f t="shared" si="14"/>
        <v>0.0024138760540681732</v>
      </c>
    </row>
    <row r="182" spans="1:13" ht="12.75">
      <c r="A182" s="123" t="s">
        <v>29</v>
      </c>
      <c r="B182" s="120" t="s">
        <v>21</v>
      </c>
      <c r="C182" s="127" t="s">
        <v>325</v>
      </c>
      <c r="D182" s="130">
        <v>77761</v>
      </c>
      <c r="E182" s="137">
        <v>46709521.43000001</v>
      </c>
      <c r="F182" s="134">
        <v>44327553.42999999</v>
      </c>
      <c r="G182" s="141">
        <f t="shared" si="10"/>
        <v>2381968.000000015</v>
      </c>
      <c r="H182" s="145">
        <v>4918748</v>
      </c>
      <c r="I182" s="146">
        <v>0</v>
      </c>
      <c r="J182" s="34">
        <f t="shared" si="11"/>
        <v>63.25469065469837</v>
      </c>
      <c r="K182" s="47">
        <f t="shared" si="12"/>
        <v>0</v>
      </c>
      <c r="L182" s="45">
        <f t="shared" si="13"/>
        <v>10.530503951686493</v>
      </c>
      <c r="M182" s="46">
        <f t="shared" si="14"/>
        <v>0</v>
      </c>
    </row>
    <row r="183" spans="1:13" ht="12.75">
      <c r="A183" s="123" t="s">
        <v>29</v>
      </c>
      <c r="B183" s="120" t="s">
        <v>150</v>
      </c>
      <c r="C183" s="127" t="s">
        <v>326</v>
      </c>
      <c r="D183" s="130">
        <v>133158</v>
      </c>
      <c r="E183" s="137">
        <v>97549317.77000007</v>
      </c>
      <c r="F183" s="134">
        <v>88411943.69999997</v>
      </c>
      <c r="G183" s="141">
        <f t="shared" si="10"/>
        <v>9137374.070000097</v>
      </c>
      <c r="H183" s="145">
        <v>4850055.68</v>
      </c>
      <c r="I183" s="146">
        <v>16055.68</v>
      </c>
      <c r="J183" s="34">
        <f t="shared" si="11"/>
        <v>36.4233142582496</v>
      </c>
      <c r="K183" s="47">
        <f t="shared" si="12"/>
        <v>0.12057615764730621</v>
      </c>
      <c r="L183" s="45">
        <f t="shared" si="13"/>
        <v>4.971901178679044</v>
      </c>
      <c r="M183" s="46">
        <f t="shared" si="14"/>
        <v>0.016459038737570444</v>
      </c>
    </row>
    <row r="184" spans="1:13" ht="12.75">
      <c r="A184" s="123" t="s">
        <v>29</v>
      </c>
      <c r="B184" s="120" t="s">
        <v>23</v>
      </c>
      <c r="C184" s="127" t="s">
        <v>327</v>
      </c>
      <c r="D184" s="130">
        <v>67085</v>
      </c>
      <c r="E184" s="137">
        <v>31669453.71</v>
      </c>
      <c r="F184" s="134">
        <v>31535381.87</v>
      </c>
      <c r="G184" s="141">
        <f t="shared" si="10"/>
        <v>134071.83999999985</v>
      </c>
      <c r="H184" s="145">
        <v>7230256.81</v>
      </c>
      <c r="I184" s="146">
        <v>0</v>
      </c>
      <c r="J184" s="34">
        <f t="shared" si="11"/>
        <v>107.77754803607363</v>
      </c>
      <c r="K184" s="47">
        <f t="shared" si="12"/>
        <v>0</v>
      </c>
      <c r="L184" s="45">
        <f t="shared" si="13"/>
        <v>22.830380581263267</v>
      </c>
      <c r="M184" s="46">
        <f t="shared" si="14"/>
        <v>0</v>
      </c>
    </row>
    <row r="185" spans="1:13" ht="12.75">
      <c r="A185" s="123" t="s">
        <v>29</v>
      </c>
      <c r="B185" s="120" t="s">
        <v>153</v>
      </c>
      <c r="C185" s="127" t="s">
        <v>328</v>
      </c>
      <c r="D185" s="130">
        <v>71101</v>
      </c>
      <c r="E185" s="137">
        <v>26810362.609999996</v>
      </c>
      <c r="F185" s="134">
        <v>28474043.81999998</v>
      </c>
      <c r="G185" s="141">
        <f t="shared" si="10"/>
        <v>-1663681.209999986</v>
      </c>
      <c r="H185" s="145">
        <v>4374600.54</v>
      </c>
      <c r="I185" s="146">
        <v>185367.54</v>
      </c>
      <c r="J185" s="34">
        <f t="shared" si="11"/>
        <v>61.52656840269476</v>
      </c>
      <c r="K185" s="47">
        <f t="shared" si="12"/>
        <v>2.607101728527025</v>
      </c>
      <c r="L185" s="45">
        <f t="shared" si="13"/>
        <v>16.31682720459856</v>
      </c>
      <c r="M185" s="46">
        <f t="shared" si="14"/>
        <v>0.6914025845023811</v>
      </c>
    </row>
    <row r="186" spans="1:13" ht="12.75">
      <c r="A186" s="123" t="s">
        <v>29</v>
      </c>
      <c r="B186" s="120" t="s">
        <v>25</v>
      </c>
      <c r="C186" s="127" t="s">
        <v>329</v>
      </c>
      <c r="D186" s="130">
        <v>78637</v>
      </c>
      <c r="E186" s="137">
        <v>37589266.419999994</v>
      </c>
      <c r="F186" s="134">
        <v>37024428.13000003</v>
      </c>
      <c r="G186" s="141">
        <f t="shared" si="10"/>
        <v>564838.2899999619</v>
      </c>
      <c r="H186" s="145">
        <v>11182031.44</v>
      </c>
      <c r="I186" s="146">
        <v>16484.09</v>
      </c>
      <c r="J186" s="34">
        <f t="shared" si="11"/>
        <v>142.19809300965193</v>
      </c>
      <c r="K186" s="47">
        <f t="shared" si="12"/>
        <v>0.20962256952833908</v>
      </c>
      <c r="L186" s="45">
        <f t="shared" si="13"/>
        <v>29.74793739004817</v>
      </c>
      <c r="M186" s="46">
        <f t="shared" si="14"/>
        <v>0.04385318355462602</v>
      </c>
    </row>
    <row r="187" spans="1:13" ht="25.5">
      <c r="A187" s="123" t="s">
        <v>29</v>
      </c>
      <c r="B187" s="120" t="s">
        <v>156</v>
      </c>
      <c r="C187" s="127" t="s">
        <v>330</v>
      </c>
      <c r="D187" s="130">
        <v>71275</v>
      </c>
      <c r="E187" s="137">
        <v>48623595.99999999</v>
      </c>
      <c r="F187" s="134">
        <v>47101800.400000036</v>
      </c>
      <c r="G187" s="141">
        <f t="shared" si="10"/>
        <v>1521795.5999999568</v>
      </c>
      <c r="H187" s="145">
        <v>6661880.8</v>
      </c>
      <c r="I187" s="146">
        <v>6637.55</v>
      </c>
      <c r="J187" s="34">
        <f t="shared" si="11"/>
        <v>93.46728586460891</v>
      </c>
      <c r="K187" s="47">
        <f t="shared" si="12"/>
        <v>0.09312592072956857</v>
      </c>
      <c r="L187" s="45">
        <f t="shared" si="13"/>
        <v>13.700921667743374</v>
      </c>
      <c r="M187" s="46">
        <f t="shared" si="14"/>
        <v>0.013650882587951744</v>
      </c>
    </row>
    <row r="188" spans="1:13" ht="12.75">
      <c r="A188" s="123" t="s">
        <v>29</v>
      </c>
      <c r="B188" s="120" t="s">
        <v>27</v>
      </c>
      <c r="C188" s="127" t="s">
        <v>331</v>
      </c>
      <c r="D188" s="130">
        <v>170065</v>
      </c>
      <c r="E188" s="137">
        <v>72661469.57999998</v>
      </c>
      <c r="F188" s="134">
        <v>71576631.47999996</v>
      </c>
      <c r="G188" s="141">
        <f t="shared" si="10"/>
        <v>1084838.1000000238</v>
      </c>
      <c r="H188" s="145">
        <v>2500919.06</v>
      </c>
      <c r="I188" s="146">
        <v>0.06</v>
      </c>
      <c r="J188" s="34">
        <f t="shared" si="11"/>
        <v>14.705665833651839</v>
      </c>
      <c r="K188" s="47">
        <f t="shared" si="12"/>
        <v>3.528062799517831E-07</v>
      </c>
      <c r="L188" s="45">
        <f t="shared" si="13"/>
        <v>3.4418778954731963</v>
      </c>
      <c r="M188" s="46">
        <f t="shared" si="14"/>
        <v>8.257471304504823E-08</v>
      </c>
    </row>
    <row r="189" spans="1:13" ht="12.75">
      <c r="A189" s="123" t="s">
        <v>29</v>
      </c>
      <c r="B189" s="120" t="s">
        <v>159</v>
      </c>
      <c r="C189" s="127" t="s">
        <v>332</v>
      </c>
      <c r="D189" s="130">
        <v>94719</v>
      </c>
      <c r="E189" s="137">
        <v>72070057.00999999</v>
      </c>
      <c r="F189" s="134">
        <v>72393462.71999994</v>
      </c>
      <c r="G189" s="141">
        <f t="shared" si="10"/>
        <v>-323405.70999994874</v>
      </c>
      <c r="H189" s="145">
        <v>21134875.69</v>
      </c>
      <c r="I189" s="146">
        <v>12928.49</v>
      </c>
      <c r="J189" s="34">
        <f t="shared" si="11"/>
        <v>223.1323777700356</v>
      </c>
      <c r="K189" s="47">
        <f t="shared" si="12"/>
        <v>0.13649310064506592</v>
      </c>
      <c r="L189" s="45">
        <f t="shared" si="13"/>
        <v>29.325459930005966</v>
      </c>
      <c r="M189" s="46">
        <f t="shared" si="14"/>
        <v>0.01793878142514321</v>
      </c>
    </row>
    <row r="190" spans="1:13" ht="12.75">
      <c r="A190" s="123" t="s">
        <v>29</v>
      </c>
      <c r="B190" s="120" t="s">
        <v>29</v>
      </c>
      <c r="C190" s="127" t="s">
        <v>333</v>
      </c>
      <c r="D190" s="130">
        <v>108830</v>
      </c>
      <c r="E190" s="137">
        <v>69378374.68999997</v>
      </c>
      <c r="F190" s="134">
        <v>74750290.80000001</v>
      </c>
      <c r="G190" s="141">
        <f t="shared" si="10"/>
        <v>-5371916.110000044</v>
      </c>
      <c r="H190" s="145">
        <v>19394328.81</v>
      </c>
      <c r="I190" s="146">
        <v>8320.81</v>
      </c>
      <c r="J190" s="34">
        <f t="shared" si="11"/>
        <v>178.20756050721306</v>
      </c>
      <c r="K190" s="47">
        <f t="shared" si="12"/>
        <v>0.07645695120830653</v>
      </c>
      <c r="L190" s="45">
        <f t="shared" si="13"/>
        <v>27.954429455372427</v>
      </c>
      <c r="M190" s="46">
        <f t="shared" si="14"/>
        <v>0.011993376952370925</v>
      </c>
    </row>
    <row r="191" spans="1:13" ht="12.75">
      <c r="A191" s="123" t="s">
        <v>29</v>
      </c>
      <c r="B191" s="120" t="s">
        <v>162</v>
      </c>
      <c r="C191" s="127" t="s">
        <v>334</v>
      </c>
      <c r="D191" s="130">
        <v>61905</v>
      </c>
      <c r="E191" s="137">
        <v>40925814.49000001</v>
      </c>
      <c r="F191" s="134">
        <v>42413769.860000044</v>
      </c>
      <c r="G191" s="141">
        <f t="shared" si="10"/>
        <v>-1487955.3700000346</v>
      </c>
      <c r="H191" s="145">
        <v>6887956.93</v>
      </c>
      <c r="I191" s="146">
        <v>0</v>
      </c>
      <c r="J191" s="34">
        <f t="shared" si="11"/>
        <v>111.26656861319763</v>
      </c>
      <c r="K191" s="47">
        <f t="shared" si="12"/>
        <v>0</v>
      </c>
      <c r="L191" s="45">
        <f t="shared" si="13"/>
        <v>16.8303478277336</v>
      </c>
      <c r="M191" s="46">
        <f t="shared" si="14"/>
        <v>0</v>
      </c>
    </row>
    <row r="192" spans="1:13" ht="12.75">
      <c r="A192" s="123" t="s">
        <v>29</v>
      </c>
      <c r="B192" s="120" t="s">
        <v>31</v>
      </c>
      <c r="C192" s="127" t="s">
        <v>335</v>
      </c>
      <c r="D192" s="130">
        <v>53713</v>
      </c>
      <c r="E192" s="137">
        <v>28386138.130000003</v>
      </c>
      <c r="F192" s="134">
        <v>26586360.23000001</v>
      </c>
      <c r="G192" s="141">
        <f t="shared" si="10"/>
        <v>1799777.899999991</v>
      </c>
      <c r="H192" s="145">
        <v>1600000</v>
      </c>
      <c r="I192" s="146">
        <v>0</v>
      </c>
      <c r="J192" s="34">
        <f t="shared" si="11"/>
        <v>29.787947051924114</v>
      </c>
      <c r="K192" s="47">
        <f t="shared" si="12"/>
        <v>0</v>
      </c>
      <c r="L192" s="45">
        <f t="shared" si="13"/>
        <v>5.63655398516163</v>
      </c>
      <c r="M192" s="46">
        <f t="shared" si="14"/>
        <v>0</v>
      </c>
    </row>
    <row r="193" spans="1:13" ht="12.75">
      <c r="A193" s="123" t="s">
        <v>29</v>
      </c>
      <c r="B193" s="120" t="s">
        <v>165</v>
      </c>
      <c r="C193" s="127" t="s">
        <v>336</v>
      </c>
      <c r="D193" s="130">
        <v>26578</v>
      </c>
      <c r="E193" s="137">
        <v>26018662.77</v>
      </c>
      <c r="F193" s="134">
        <v>26961996.890000004</v>
      </c>
      <c r="G193" s="141">
        <f t="shared" si="10"/>
        <v>-943334.1200000048</v>
      </c>
      <c r="H193" s="145">
        <v>13837439.52</v>
      </c>
      <c r="I193" s="146">
        <v>185657.03</v>
      </c>
      <c r="J193" s="34">
        <f t="shared" si="11"/>
        <v>520.6350936865076</v>
      </c>
      <c r="K193" s="47">
        <f t="shared" si="12"/>
        <v>6.98536496350365</v>
      </c>
      <c r="L193" s="45">
        <f t="shared" si="13"/>
        <v>53.182746716540805</v>
      </c>
      <c r="M193" s="46">
        <f t="shared" si="14"/>
        <v>0.7135533122557935</v>
      </c>
    </row>
    <row r="194" spans="1:13" ht="12.75">
      <c r="A194" s="123" t="s">
        <v>31</v>
      </c>
      <c r="B194" s="120" t="s">
        <v>135</v>
      </c>
      <c r="C194" s="127" t="s">
        <v>337</v>
      </c>
      <c r="D194" s="130">
        <v>58975</v>
      </c>
      <c r="E194" s="137">
        <v>42433665.43000001</v>
      </c>
      <c r="F194" s="134">
        <v>40958307.55000002</v>
      </c>
      <c r="G194" s="141">
        <f t="shared" si="10"/>
        <v>1475357.8799999878</v>
      </c>
      <c r="H194" s="145">
        <v>2713155.8</v>
      </c>
      <c r="I194" s="146">
        <v>0</v>
      </c>
      <c r="J194" s="34">
        <f t="shared" si="11"/>
        <v>46.00518524798643</v>
      </c>
      <c r="K194" s="47">
        <f t="shared" si="12"/>
        <v>0</v>
      </c>
      <c r="L194" s="45">
        <f t="shared" si="13"/>
        <v>6.393875646862777</v>
      </c>
      <c r="M194" s="46">
        <f t="shared" si="14"/>
        <v>0</v>
      </c>
    </row>
    <row r="195" spans="1:13" ht="12.75">
      <c r="A195" s="123" t="s">
        <v>31</v>
      </c>
      <c r="B195" s="120" t="s">
        <v>13</v>
      </c>
      <c r="C195" s="127" t="s">
        <v>338</v>
      </c>
      <c r="D195" s="130">
        <v>137282</v>
      </c>
      <c r="E195" s="137">
        <v>69710247.51000002</v>
      </c>
      <c r="F195" s="134">
        <v>64403620.07000003</v>
      </c>
      <c r="G195" s="141">
        <f t="shared" si="10"/>
        <v>5306627.43999999</v>
      </c>
      <c r="H195" s="145">
        <v>2690996</v>
      </c>
      <c r="I195" s="146">
        <v>0</v>
      </c>
      <c r="J195" s="34">
        <f t="shared" si="11"/>
        <v>19.601958013432206</v>
      </c>
      <c r="K195" s="47">
        <f t="shared" si="12"/>
        <v>0</v>
      </c>
      <c r="L195" s="45">
        <f t="shared" si="13"/>
        <v>3.86025885163293</v>
      </c>
      <c r="M195" s="46">
        <f t="shared" si="14"/>
        <v>0</v>
      </c>
    </row>
    <row r="196" spans="1:13" ht="12.75">
      <c r="A196" s="123" t="s">
        <v>31</v>
      </c>
      <c r="B196" s="120" t="s">
        <v>138</v>
      </c>
      <c r="C196" s="127" t="s">
        <v>339</v>
      </c>
      <c r="D196" s="130">
        <v>59764</v>
      </c>
      <c r="E196" s="137">
        <v>42281470.639999986</v>
      </c>
      <c r="F196" s="134">
        <v>42914293.88000002</v>
      </c>
      <c r="G196" s="141">
        <f t="shared" si="10"/>
        <v>-632823.2400000319</v>
      </c>
      <c r="H196" s="145">
        <v>6638000</v>
      </c>
      <c r="I196" s="146">
        <v>0</v>
      </c>
      <c r="J196" s="34">
        <f t="shared" si="11"/>
        <v>111.07020949066327</v>
      </c>
      <c r="K196" s="47">
        <f t="shared" si="12"/>
        <v>0</v>
      </c>
      <c r="L196" s="45">
        <f t="shared" si="13"/>
        <v>15.69954852450232</v>
      </c>
      <c r="M196" s="46">
        <f t="shared" si="14"/>
        <v>0</v>
      </c>
    </row>
    <row r="197" spans="1:13" ht="12.75">
      <c r="A197" s="123" t="s">
        <v>31</v>
      </c>
      <c r="B197" s="120" t="s">
        <v>15</v>
      </c>
      <c r="C197" s="127" t="s">
        <v>340</v>
      </c>
      <c r="D197" s="130">
        <v>49921</v>
      </c>
      <c r="E197" s="137">
        <v>29828271.64</v>
      </c>
      <c r="F197" s="134">
        <v>30042489.629999984</v>
      </c>
      <c r="G197" s="141">
        <f t="shared" si="10"/>
        <v>-214217.98999998346</v>
      </c>
      <c r="H197" s="145">
        <v>3310716.66</v>
      </c>
      <c r="I197" s="146">
        <v>0</v>
      </c>
      <c r="J197" s="34">
        <f t="shared" si="11"/>
        <v>66.31911740550069</v>
      </c>
      <c r="K197" s="47">
        <f t="shared" si="12"/>
        <v>0</v>
      </c>
      <c r="L197" s="45">
        <f t="shared" si="13"/>
        <v>11.099257442594485</v>
      </c>
      <c r="M197" s="46">
        <f t="shared" si="14"/>
        <v>0</v>
      </c>
    </row>
    <row r="198" spans="1:13" ht="12.75">
      <c r="A198" s="123" t="s">
        <v>31</v>
      </c>
      <c r="B198" s="120" t="s">
        <v>141</v>
      </c>
      <c r="C198" s="127" t="s">
        <v>341</v>
      </c>
      <c r="D198" s="130">
        <v>47830</v>
      </c>
      <c r="E198" s="137">
        <v>34140066.730000004</v>
      </c>
      <c r="F198" s="134">
        <v>34033988.22999998</v>
      </c>
      <c r="G198" s="141">
        <f t="shared" si="10"/>
        <v>106078.50000002235</v>
      </c>
      <c r="H198" s="145">
        <v>9748294.72</v>
      </c>
      <c r="I198" s="146">
        <v>1518</v>
      </c>
      <c r="J198" s="34">
        <f t="shared" si="11"/>
        <v>203.81130503867865</v>
      </c>
      <c r="K198" s="47">
        <f t="shared" si="12"/>
        <v>0.03173740330336609</v>
      </c>
      <c r="L198" s="45">
        <f t="shared" si="13"/>
        <v>28.553824446493692</v>
      </c>
      <c r="M198" s="46">
        <f t="shared" si="14"/>
        <v>0.004446388497143982</v>
      </c>
    </row>
    <row r="199" spans="1:13" ht="12.75">
      <c r="A199" s="123" t="s">
        <v>31</v>
      </c>
      <c r="B199" s="120" t="s">
        <v>17</v>
      </c>
      <c r="C199" s="127" t="s">
        <v>342</v>
      </c>
      <c r="D199" s="130">
        <v>39660</v>
      </c>
      <c r="E199" s="137">
        <v>18040297.199999996</v>
      </c>
      <c r="F199" s="134">
        <v>17659866.870000005</v>
      </c>
      <c r="G199" s="141">
        <f t="shared" si="10"/>
        <v>380430.32999999076</v>
      </c>
      <c r="H199" s="145">
        <v>400008</v>
      </c>
      <c r="I199" s="146">
        <v>0</v>
      </c>
      <c r="J199" s="34">
        <f t="shared" si="11"/>
        <v>10.085930408472013</v>
      </c>
      <c r="K199" s="47">
        <f t="shared" si="12"/>
        <v>0</v>
      </c>
      <c r="L199" s="45">
        <f t="shared" si="13"/>
        <v>2.2173027171636623</v>
      </c>
      <c r="M199" s="46">
        <f t="shared" si="14"/>
        <v>0</v>
      </c>
    </row>
    <row r="200" spans="1:13" ht="12.75">
      <c r="A200" s="123" t="s">
        <v>31</v>
      </c>
      <c r="B200" s="120" t="s">
        <v>144</v>
      </c>
      <c r="C200" s="127" t="s">
        <v>343</v>
      </c>
      <c r="D200" s="130">
        <v>50896</v>
      </c>
      <c r="E200" s="137">
        <v>19649513.340000004</v>
      </c>
      <c r="F200" s="134">
        <v>18790357.259999998</v>
      </c>
      <c r="G200" s="141">
        <f aca="true" t="shared" si="15" ref="G200:G263">E200-F200</f>
        <v>859156.0800000057</v>
      </c>
      <c r="H200" s="145">
        <v>0</v>
      </c>
      <c r="I200" s="146">
        <v>0</v>
      </c>
      <c r="J200" s="34">
        <f aca="true" t="shared" si="16" ref="J200:J263">H200/D200</f>
        <v>0</v>
      </c>
      <c r="K200" s="47">
        <f aca="true" t="shared" si="17" ref="K200:K263">I200/D200</f>
        <v>0</v>
      </c>
      <c r="L200" s="45">
        <f aca="true" t="shared" si="18" ref="L200:L263">H200/E200*100</f>
        <v>0</v>
      </c>
      <c r="M200" s="46">
        <f aca="true" t="shared" si="19" ref="M200:M263">I200/E200*100</f>
        <v>0</v>
      </c>
    </row>
    <row r="201" spans="1:13" ht="12.75">
      <c r="A201" s="123" t="s">
        <v>31</v>
      </c>
      <c r="B201" s="120" t="s">
        <v>19</v>
      </c>
      <c r="C201" s="127" t="s">
        <v>344</v>
      </c>
      <c r="D201" s="130">
        <v>42836</v>
      </c>
      <c r="E201" s="137">
        <v>22652295.759999998</v>
      </c>
      <c r="F201" s="134">
        <v>20983067.910000004</v>
      </c>
      <c r="G201" s="141">
        <f t="shared" si="15"/>
        <v>1669227.849999994</v>
      </c>
      <c r="H201" s="145">
        <v>3406000</v>
      </c>
      <c r="I201" s="146">
        <v>0</v>
      </c>
      <c r="J201" s="34">
        <f t="shared" si="16"/>
        <v>79.51255952936782</v>
      </c>
      <c r="K201" s="47">
        <f t="shared" si="17"/>
        <v>0</v>
      </c>
      <c r="L201" s="45">
        <f t="shared" si="18"/>
        <v>15.03600357370577</v>
      </c>
      <c r="M201" s="46">
        <f t="shared" si="19"/>
        <v>0</v>
      </c>
    </row>
    <row r="202" spans="1:13" ht="12.75">
      <c r="A202" s="123" t="s">
        <v>31</v>
      </c>
      <c r="B202" s="120" t="s">
        <v>147</v>
      </c>
      <c r="C202" s="127" t="s">
        <v>345</v>
      </c>
      <c r="D202" s="130">
        <v>21235</v>
      </c>
      <c r="E202" s="137">
        <v>14272540.029999994</v>
      </c>
      <c r="F202" s="134">
        <v>14564165.040000005</v>
      </c>
      <c r="G202" s="141">
        <f t="shared" si="15"/>
        <v>-291625.01000001095</v>
      </c>
      <c r="H202" s="145">
        <v>955024.16</v>
      </c>
      <c r="I202" s="146">
        <v>0</v>
      </c>
      <c r="J202" s="34">
        <f t="shared" si="16"/>
        <v>44.97405980692253</v>
      </c>
      <c r="K202" s="47">
        <f t="shared" si="17"/>
        <v>0</v>
      </c>
      <c r="L202" s="45">
        <f t="shared" si="18"/>
        <v>6.691339859566682</v>
      </c>
      <c r="M202" s="46">
        <f t="shared" si="19"/>
        <v>0</v>
      </c>
    </row>
    <row r="203" spans="1:13" ht="12.75">
      <c r="A203" s="123" t="s">
        <v>31</v>
      </c>
      <c r="B203" s="120" t="s">
        <v>21</v>
      </c>
      <c r="C203" s="127" t="s">
        <v>346</v>
      </c>
      <c r="D203" s="130">
        <v>48474</v>
      </c>
      <c r="E203" s="137">
        <v>31070722.78999999</v>
      </c>
      <c r="F203" s="134">
        <v>31681316.290000003</v>
      </c>
      <c r="G203" s="141">
        <f t="shared" si="15"/>
        <v>-610593.5000000112</v>
      </c>
      <c r="H203" s="145">
        <v>3215735.94</v>
      </c>
      <c r="I203" s="146">
        <v>0</v>
      </c>
      <c r="J203" s="34">
        <f t="shared" si="16"/>
        <v>66.33939720262408</v>
      </c>
      <c r="K203" s="47">
        <f t="shared" si="17"/>
        <v>0</v>
      </c>
      <c r="L203" s="45">
        <f t="shared" si="18"/>
        <v>10.349730071406558</v>
      </c>
      <c r="M203" s="46">
        <f t="shared" si="19"/>
        <v>0</v>
      </c>
    </row>
    <row r="204" spans="1:13" ht="12.75">
      <c r="A204" s="123" t="s">
        <v>31</v>
      </c>
      <c r="B204" s="120" t="s">
        <v>150</v>
      </c>
      <c r="C204" s="127" t="s">
        <v>347</v>
      </c>
      <c r="D204" s="130">
        <v>72046</v>
      </c>
      <c r="E204" s="137">
        <v>42159057.69</v>
      </c>
      <c r="F204" s="134">
        <v>40707864.26999999</v>
      </c>
      <c r="G204" s="141">
        <f t="shared" si="15"/>
        <v>1451193.4200000092</v>
      </c>
      <c r="H204" s="145">
        <v>6361406</v>
      </c>
      <c r="I204" s="146">
        <v>0</v>
      </c>
      <c r="J204" s="34">
        <f t="shared" si="16"/>
        <v>88.29644949060322</v>
      </c>
      <c r="K204" s="47">
        <f t="shared" si="17"/>
        <v>0</v>
      </c>
      <c r="L204" s="45">
        <f t="shared" si="18"/>
        <v>15.089061161603967</v>
      </c>
      <c r="M204" s="46">
        <f t="shared" si="19"/>
        <v>0</v>
      </c>
    </row>
    <row r="205" spans="1:13" ht="12.75">
      <c r="A205" s="123" t="s">
        <v>31</v>
      </c>
      <c r="B205" s="120" t="s">
        <v>23</v>
      </c>
      <c r="C205" s="127" t="s">
        <v>348</v>
      </c>
      <c r="D205" s="130">
        <v>35248</v>
      </c>
      <c r="E205" s="137">
        <v>19220075.859999996</v>
      </c>
      <c r="F205" s="134">
        <v>17985717.27999999</v>
      </c>
      <c r="G205" s="141">
        <f t="shared" si="15"/>
        <v>1234358.5800000057</v>
      </c>
      <c r="H205" s="145">
        <v>3380979.39</v>
      </c>
      <c r="I205" s="146">
        <v>0</v>
      </c>
      <c r="J205" s="34">
        <f t="shared" si="16"/>
        <v>95.91975119155697</v>
      </c>
      <c r="K205" s="47">
        <f t="shared" si="17"/>
        <v>0</v>
      </c>
      <c r="L205" s="45">
        <f t="shared" si="18"/>
        <v>17.5908743265491</v>
      </c>
      <c r="M205" s="46">
        <f t="shared" si="19"/>
        <v>0</v>
      </c>
    </row>
    <row r="206" spans="1:13" ht="12.75">
      <c r="A206" s="123" t="s">
        <v>31</v>
      </c>
      <c r="B206" s="120" t="s">
        <v>153</v>
      </c>
      <c r="C206" s="127" t="s">
        <v>349</v>
      </c>
      <c r="D206" s="130">
        <v>59600</v>
      </c>
      <c r="E206" s="137">
        <v>41143693.30999999</v>
      </c>
      <c r="F206" s="134">
        <v>36577337.99000002</v>
      </c>
      <c r="G206" s="141">
        <f t="shared" si="15"/>
        <v>4566355.3199999705</v>
      </c>
      <c r="H206" s="145">
        <v>688067.27</v>
      </c>
      <c r="I206" s="146">
        <v>0</v>
      </c>
      <c r="J206" s="34">
        <f t="shared" si="16"/>
        <v>11.544752852348994</v>
      </c>
      <c r="K206" s="47">
        <f t="shared" si="17"/>
        <v>0</v>
      </c>
      <c r="L206" s="45">
        <f t="shared" si="18"/>
        <v>1.6723517376422914</v>
      </c>
      <c r="M206" s="46">
        <f t="shared" si="19"/>
        <v>0</v>
      </c>
    </row>
    <row r="207" spans="1:13" ht="12.75">
      <c r="A207" s="123" t="s">
        <v>31</v>
      </c>
      <c r="B207" s="120" t="s">
        <v>25</v>
      </c>
      <c r="C207" s="127" t="s">
        <v>350</v>
      </c>
      <c r="D207" s="130">
        <v>44871</v>
      </c>
      <c r="E207" s="137">
        <v>31747468.890000004</v>
      </c>
      <c r="F207" s="134">
        <v>33460648.729999993</v>
      </c>
      <c r="G207" s="141">
        <f t="shared" si="15"/>
        <v>-1713179.8399999887</v>
      </c>
      <c r="H207" s="145">
        <v>2461330.18</v>
      </c>
      <c r="I207" s="146">
        <v>0</v>
      </c>
      <c r="J207" s="34">
        <f t="shared" si="16"/>
        <v>54.85347284437611</v>
      </c>
      <c r="K207" s="47">
        <f t="shared" si="17"/>
        <v>0</v>
      </c>
      <c r="L207" s="45">
        <f t="shared" si="18"/>
        <v>7.752839095702788</v>
      </c>
      <c r="M207" s="46">
        <f t="shared" si="19"/>
        <v>0</v>
      </c>
    </row>
    <row r="208" spans="1:13" ht="12.75">
      <c r="A208" s="123" t="s">
        <v>33</v>
      </c>
      <c r="B208" s="120" t="s">
        <v>135</v>
      </c>
      <c r="C208" s="127" t="s">
        <v>351</v>
      </c>
      <c r="D208" s="130">
        <v>75286</v>
      </c>
      <c r="E208" s="137">
        <v>55416943.59000002</v>
      </c>
      <c r="F208" s="134">
        <v>50835455.14999995</v>
      </c>
      <c r="G208" s="141">
        <f t="shared" si="15"/>
        <v>4581488.440000072</v>
      </c>
      <c r="H208" s="145">
        <v>14817082.68</v>
      </c>
      <c r="I208" s="146">
        <v>0</v>
      </c>
      <c r="J208" s="34">
        <f t="shared" si="16"/>
        <v>196.81059798634539</v>
      </c>
      <c r="K208" s="47">
        <f t="shared" si="17"/>
        <v>0</v>
      </c>
      <c r="L208" s="45">
        <f t="shared" si="18"/>
        <v>26.737459195915925</v>
      </c>
      <c r="M208" s="46">
        <f t="shared" si="19"/>
        <v>0</v>
      </c>
    </row>
    <row r="209" spans="1:13" ht="12.75">
      <c r="A209" s="123" t="s">
        <v>33</v>
      </c>
      <c r="B209" s="120" t="s">
        <v>13</v>
      </c>
      <c r="C209" s="127" t="s">
        <v>352</v>
      </c>
      <c r="D209" s="130">
        <v>91825</v>
      </c>
      <c r="E209" s="137">
        <v>63935197.72999997</v>
      </c>
      <c r="F209" s="134">
        <v>63696735.83000004</v>
      </c>
      <c r="G209" s="141">
        <f t="shared" si="15"/>
        <v>238461.899999924</v>
      </c>
      <c r="H209" s="145">
        <v>3300306</v>
      </c>
      <c r="I209" s="146">
        <v>0</v>
      </c>
      <c r="J209" s="34">
        <f t="shared" si="16"/>
        <v>35.94125782738905</v>
      </c>
      <c r="K209" s="47">
        <f t="shared" si="17"/>
        <v>0</v>
      </c>
      <c r="L209" s="45">
        <f t="shared" si="18"/>
        <v>5.161954787310238</v>
      </c>
      <c r="M209" s="46">
        <f t="shared" si="19"/>
        <v>0</v>
      </c>
    </row>
    <row r="210" spans="1:13" ht="12.75">
      <c r="A210" s="123" t="s">
        <v>33</v>
      </c>
      <c r="B210" s="120" t="s">
        <v>138</v>
      </c>
      <c r="C210" s="127" t="s">
        <v>353</v>
      </c>
      <c r="D210" s="130">
        <v>56926</v>
      </c>
      <c r="E210" s="137">
        <v>53812885.359999985</v>
      </c>
      <c r="F210" s="134">
        <v>53040847.040000044</v>
      </c>
      <c r="G210" s="141">
        <f t="shared" si="15"/>
        <v>772038.3199999407</v>
      </c>
      <c r="H210" s="145">
        <v>20487999.97</v>
      </c>
      <c r="I210" s="146">
        <v>0</v>
      </c>
      <c r="J210" s="34">
        <f t="shared" si="16"/>
        <v>359.90584214594384</v>
      </c>
      <c r="K210" s="47">
        <f t="shared" si="17"/>
        <v>0</v>
      </c>
      <c r="L210" s="45">
        <f t="shared" si="18"/>
        <v>38.072665743415186</v>
      </c>
      <c r="M210" s="46">
        <f t="shared" si="19"/>
        <v>0</v>
      </c>
    </row>
    <row r="211" spans="1:13" ht="12.75">
      <c r="A211" s="123" t="s">
        <v>33</v>
      </c>
      <c r="B211" s="120" t="s">
        <v>15</v>
      </c>
      <c r="C211" s="127" t="s">
        <v>354</v>
      </c>
      <c r="D211" s="130">
        <v>86451</v>
      </c>
      <c r="E211" s="137">
        <v>37340496.13</v>
      </c>
      <c r="F211" s="134">
        <v>36112337.84999998</v>
      </c>
      <c r="G211" s="141">
        <f t="shared" si="15"/>
        <v>1228158.2800000235</v>
      </c>
      <c r="H211" s="145">
        <v>6534787.2</v>
      </c>
      <c r="I211" s="146">
        <v>0</v>
      </c>
      <c r="J211" s="34">
        <f t="shared" si="16"/>
        <v>75.58949231356492</v>
      </c>
      <c r="K211" s="47">
        <f t="shared" si="17"/>
        <v>0</v>
      </c>
      <c r="L211" s="45">
        <f t="shared" si="18"/>
        <v>17.50053662182019</v>
      </c>
      <c r="M211" s="46">
        <f t="shared" si="19"/>
        <v>0</v>
      </c>
    </row>
    <row r="212" spans="1:13" ht="12.75">
      <c r="A212" s="123" t="s">
        <v>33</v>
      </c>
      <c r="B212" s="120" t="s">
        <v>141</v>
      </c>
      <c r="C212" s="127" t="s">
        <v>355</v>
      </c>
      <c r="D212" s="130">
        <v>110086</v>
      </c>
      <c r="E212" s="137">
        <v>67012511.45999999</v>
      </c>
      <c r="F212" s="134">
        <v>73264955.92999998</v>
      </c>
      <c r="G212" s="141">
        <f t="shared" si="15"/>
        <v>-6252444.469999984</v>
      </c>
      <c r="H212" s="145">
        <v>19713874.44</v>
      </c>
      <c r="I212" s="146">
        <v>0</v>
      </c>
      <c r="J212" s="34">
        <f t="shared" si="16"/>
        <v>179.07703468197593</v>
      </c>
      <c r="K212" s="47">
        <f t="shared" si="17"/>
        <v>0</v>
      </c>
      <c r="L212" s="45">
        <f t="shared" si="18"/>
        <v>29.418199692108665</v>
      </c>
      <c r="M212" s="46">
        <f t="shared" si="19"/>
        <v>0</v>
      </c>
    </row>
    <row r="213" spans="1:13" ht="12.75">
      <c r="A213" s="123" t="s">
        <v>33</v>
      </c>
      <c r="B213" s="120" t="s">
        <v>17</v>
      </c>
      <c r="C213" s="127" t="s">
        <v>356</v>
      </c>
      <c r="D213" s="130">
        <v>67036</v>
      </c>
      <c r="E213" s="137">
        <v>50502153.32999999</v>
      </c>
      <c r="F213" s="134">
        <v>53260220.96999995</v>
      </c>
      <c r="G213" s="141">
        <f t="shared" si="15"/>
        <v>-2758067.639999956</v>
      </c>
      <c r="H213" s="145">
        <v>11714728.64</v>
      </c>
      <c r="I213" s="146">
        <v>0</v>
      </c>
      <c r="J213" s="34">
        <f t="shared" si="16"/>
        <v>174.75279909302466</v>
      </c>
      <c r="K213" s="47">
        <f t="shared" si="17"/>
        <v>0</v>
      </c>
      <c r="L213" s="45">
        <f t="shared" si="18"/>
        <v>23.19649335237564</v>
      </c>
      <c r="M213" s="46">
        <f t="shared" si="19"/>
        <v>0</v>
      </c>
    </row>
    <row r="214" spans="1:13" ht="12.75">
      <c r="A214" s="123" t="s">
        <v>33</v>
      </c>
      <c r="B214" s="120" t="s">
        <v>144</v>
      </c>
      <c r="C214" s="127" t="s">
        <v>357</v>
      </c>
      <c r="D214" s="130">
        <v>80898</v>
      </c>
      <c r="E214" s="137">
        <v>58414683.51999998</v>
      </c>
      <c r="F214" s="134">
        <v>56453050.72999998</v>
      </c>
      <c r="G214" s="141">
        <f t="shared" si="15"/>
        <v>1961632.789999999</v>
      </c>
      <c r="H214" s="145">
        <v>11533375.62</v>
      </c>
      <c r="I214" s="146">
        <v>25575.62</v>
      </c>
      <c r="J214" s="34">
        <f t="shared" si="16"/>
        <v>142.566881999555</v>
      </c>
      <c r="K214" s="47">
        <f t="shared" si="17"/>
        <v>0.3161465054760315</v>
      </c>
      <c r="L214" s="45">
        <f t="shared" si="18"/>
        <v>19.743966627930476</v>
      </c>
      <c r="M214" s="46">
        <f t="shared" si="19"/>
        <v>0.04378286153214103</v>
      </c>
    </row>
    <row r="215" spans="1:13" ht="12.75">
      <c r="A215" s="123" t="s">
        <v>33</v>
      </c>
      <c r="B215" s="120" t="s">
        <v>19</v>
      </c>
      <c r="C215" s="127" t="s">
        <v>358</v>
      </c>
      <c r="D215" s="130">
        <v>63703</v>
      </c>
      <c r="E215" s="137">
        <v>49376637.539999984</v>
      </c>
      <c r="F215" s="134">
        <v>47993471.469999984</v>
      </c>
      <c r="G215" s="141">
        <f t="shared" si="15"/>
        <v>1383166.0700000003</v>
      </c>
      <c r="H215" s="145">
        <v>2069689.12</v>
      </c>
      <c r="I215" s="146">
        <v>0</v>
      </c>
      <c r="J215" s="34">
        <f t="shared" si="16"/>
        <v>32.489664850948934</v>
      </c>
      <c r="K215" s="47">
        <f t="shared" si="17"/>
        <v>0</v>
      </c>
      <c r="L215" s="45">
        <f t="shared" si="18"/>
        <v>4.191636415750963</v>
      </c>
      <c r="M215" s="46">
        <f t="shared" si="19"/>
        <v>0</v>
      </c>
    </row>
    <row r="216" spans="1:13" ht="12.75">
      <c r="A216" s="123" t="s">
        <v>33</v>
      </c>
      <c r="B216" s="120" t="s">
        <v>147</v>
      </c>
      <c r="C216" s="127" t="s">
        <v>359</v>
      </c>
      <c r="D216" s="130">
        <v>62867</v>
      </c>
      <c r="E216" s="137">
        <v>54650073.5</v>
      </c>
      <c r="F216" s="134">
        <v>54958257.02999999</v>
      </c>
      <c r="G216" s="141">
        <f t="shared" si="15"/>
        <v>-308183.5299999863</v>
      </c>
      <c r="H216" s="145">
        <v>10721209.28</v>
      </c>
      <c r="I216" s="146">
        <v>286789.14</v>
      </c>
      <c r="J216" s="34">
        <f t="shared" si="16"/>
        <v>170.53794963971558</v>
      </c>
      <c r="K216" s="47">
        <f t="shared" si="17"/>
        <v>4.561839120683348</v>
      </c>
      <c r="L216" s="45">
        <f t="shared" si="18"/>
        <v>19.617922892638013</v>
      </c>
      <c r="M216" s="46">
        <f t="shared" si="19"/>
        <v>0.5247735668644617</v>
      </c>
    </row>
    <row r="217" spans="1:13" ht="12.75">
      <c r="A217" s="123" t="s">
        <v>33</v>
      </c>
      <c r="B217" s="120" t="s">
        <v>21</v>
      </c>
      <c r="C217" s="127" t="s">
        <v>276</v>
      </c>
      <c r="D217" s="130">
        <v>35487</v>
      </c>
      <c r="E217" s="137">
        <v>26330367.539999984</v>
      </c>
      <c r="F217" s="134">
        <v>26388416.880000003</v>
      </c>
      <c r="G217" s="141">
        <f t="shared" si="15"/>
        <v>-58049.34000001848</v>
      </c>
      <c r="H217" s="145">
        <v>9248526</v>
      </c>
      <c r="I217" s="146">
        <v>0</v>
      </c>
      <c r="J217" s="34">
        <f t="shared" si="16"/>
        <v>260.6172964747654</v>
      </c>
      <c r="K217" s="47">
        <f t="shared" si="17"/>
        <v>0</v>
      </c>
      <c r="L217" s="45">
        <f t="shared" si="18"/>
        <v>35.12494075880266</v>
      </c>
      <c r="M217" s="46">
        <f t="shared" si="19"/>
        <v>0</v>
      </c>
    </row>
    <row r="218" spans="1:13" ht="12.75">
      <c r="A218" s="123" t="s">
        <v>33</v>
      </c>
      <c r="B218" s="120" t="s">
        <v>150</v>
      </c>
      <c r="C218" s="127" t="s">
        <v>360</v>
      </c>
      <c r="D218" s="130">
        <v>74717</v>
      </c>
      <c r="E218" s="137">
        <v>44685324.530000016</v>
      </c>
      <c r="F218" s="134">
        <v>44138880.460000016</v>
      </c>
      <c r="G218" s="141">
        <f t="shared" si="15"/>
        <v>546444.0700000003</v>
      </c>
      <c r="H218" s="145">
        <v>13480000</v>
      </c>
      <c r="I218" s="146">
        <v>0</v>
      </c>
      <c r="J218" s="34">
        <f t="shared" si="16"/>
        <v>180.4140958550263</v>
      </c>
      <c r="K218" s="47">
        <f t="shared" si="17"/>
        <v>0</v>
      </c>
      <c r="L218" s="45">
        <f t="shared" si="18"/>
        <v>30.16650352611861</v>
      </c>
      <c r="M218" s="46">
        <f t="shared" si="19"/>
        <v>0</v>
      </c>
    </row>
    <row r="219" spans="1:13" ht="12.75">
      <c r="A219" s="123" t="s">
        <v>33</v>
      </c>
      <c r="B219" s="120" t="s">
        <v>23</v>
      </c>
      <c r="C219" s="127" t="s">
        <v>361</v>
      </c>
      <c r="D219" s="130">
        <v>92355</v>
      </c>
      <c r="E219" s="137">
        <v>60874703.22000003</v>
      </c>
      <c r="F219" s="134">
        <v>57642737.28999999</v>
      </c>
      <c r="G219" s="141">
        <f t="shared" si="15"/>
        <v>3231965.930000037</v>
      </c>
      <c r="H219" s="145">
        <v>13824577.32</v>
      </c>
      <c r="I219" s="146">
        <v>0</v>
      </c>
      <c r="J219" s="34">
        <f t="shared" si="16"/>
        <v>149.6895384115641</v>
      </c>
      <c r="K219" s="47">
        <f t="shared" si="17"/>
        <v>0</v>
      </c>
      <c r="L219" s="45">
        <f t="shared" si="18"/>
        <v>22.70988865446824</v>
      </c>
      <c r="M219" s="46">
        <f t="shared" si="19"/>
        <v>0</v>
      </c>
    </row>
    <row r="220" spans="1:13" ht="12.75">
      <c r="A220" s="123" t="s">
        <v>33</v>
      </c>
      <c r="B220" s="120" t="s">
        <v>153</v>
      </c>
      <c r="C220" s="127" t="s">
        <v>362</v>
      </c>
      <c r="D220" s="130">
        <v>122116</v>
      </c>
      <c r="E220" s="137">
        <v>77443570.18999998</v>
      </c>
      <c r="F220" s="134">
        <v>76188414.15000007</v>
      </c>
      <c r="G220" s="141">
        <f t="shared" si="15"/>
        <v>1255156.0399999171</v>
      </c>
      <c r="H220" s="145">
        <v>7059100</v>
      </c>
      <c r="I220" s="146">
        <v>0</v>
      </c>
      <c r="J220" s="34">
        <f t="shared" si="16"/>
        <v>57.80651184120017</v>
      </c>
      <c r="K220" s="47">
        <f t="shared" si="17"/>
        <v>0</v>
      </c>
      <c r="L220" s="45">
        <f t="shared" si="18"/>
        <v>9.115153114301433</v>
      </c>
      <c r="M220" s="46">
        <f t="shared" si="19"/>
        <v>0</v>
      </c>
    </row>
    <row r="221" spans="1:13" ht="12.75">
      <c r="A221" s="123" t="s">
        <v>33</v>
      </c>
      <c r="B221" s="120" t="s">
        <v>25</v>
      </c>
      <c r="C221" s="127" t="s">
        <v>363</v>
      </c>
      <c r="D221" s="130">
        <v>112716</v>
      </c>
      <c r="E221" s="137">
        <v>84258520.77</v>
      </c>
      <c r="F221" s="134">
        <v>81669091.48999996</v>
      </c>
      <c r="G221" s="141">
        <f t="shared" si="15"/>
        <v>2589429.280000031</v>
      </c>
      <c r="H221" s="145">
        <v>1078.45</v>
      </c>
      <c r="I221" s="146">
        <v>1078.45</v>
      </c>
      <c r="J221" s="34">
        <f t="shared" si="16"/>
        <v>0.00956785194648497</v>
      </c>
      <c r="K221" s="47">
        <f t="shared" si="17"/>
        <v>0.00956785194648497</v>
      </c>
      <c r="L221" s="45">
        <f t="shared" si="18"/>
        <v>0.0012799298992488117</v>
      </c>
      <c r="M221" s="46">
        <f t="shared" si="19"/>
        <v>0.0012799298992488117</v>
      </c>
    </row>
    <row r="222" spans="1:13" ht="12.75">
      <c r="A222" s="123" t="s">
        <v>33</v>
      </c>
      <c r="B222" s="120" t="s">
        <v>156</v>
      </c>
      <c r="C222" s="127" t="s">
        <v>364</v>
      </c>
      <c r="D222" s="130">
        <v>183085</v>
      </c>
      <c r="E222" s="137">
        <v>94529257.08000001</v>
      </c>
      <c r="F222" s="134">
        <v>94833918.76999989</v>
      </c>
      <c r="G222" s="141">
        <f t="shared" si="15"/>
        <v>-304661.6899998784</v>
      </c>
      <c r="H222" s="145">
        <v>10310389.52</v>
      </c>
      <c r="I222" s="146">
        <v>0</v>
      </c>
      <c r="J222" s="34">
        <f t="shared" si="16"/>
        <v>56.31476920556025</v>
      </c>
      <c r="K222" s="47">
        <f t="shared" si="17"/>
        <v>0</v>
      </c>
      <c r="L222" s="45">
        <f t="shared" si="18"/>
        <v>10.90708827984793</v>
      </c>
      <c r="M222" s="46">
        <f t="shared" si="19"/>
        <v>0</v>
      </c>
    </row>
    <row r="223" spans="1:13" ht="12.75">
      <c r="A223" s="123" t="s">
        <v>33</v>
      </c>
      <c r="B223" s="120" t="s">
        <v>27</v>
      </c>
      <c r="C223" s="127" t="s">
        <v>365</v>
      </c>
      <c r="D223" s="130">
        <v>41823</v>
      </c>
      <c r="E223" s="137">
        <v>29888129.44</v>
      </c>
      <c r="F223" s="134">
        <v>29784676.459999993</v>
      </c>
      <c r="G223" s="141">
        <f t="shared" si="15"/>
        <v>103452.9800000079</v>
      </c>
      <c r="H223" s="145">
        <v>4663793</v>
      </c>
      <c r="I223" s="146">
        <v>0</v>
      </c>
      <c r="J223" s="34">
        <f t="shared" si="16"/>
        <v>111.51263658752362</v>
      </c>
      <c r="K223" s="47">
        <f t="shared" si="17"/>
        <v>0</v>
      </c>
      <c r="L223" s="45">
        <f t="shared" si="18"/>
        <v>15.6041648888148</v>
      </c>
      <c r="M223" s="46">
        <f t="shared" si="19"/>
        <v>0</v>
      </c>
    </row>
    <row r="224" spans="1:13" ht="12.75">
      <c r="A224" s="123" t="s">
        <v>35</v>
      </c>
      <c r="B224" s="120" t="s">
        <v>135</v>
      </c>
      <c r="C224" s="127" t="s">
        <v>366</v>
      </c>
      <c r="D224" s="130">
        <v>151163</v>
      </c>
      <c r="E224" s="137">
        <v>75013939.19999999</v>
      </c>
      <c r="F224" s="134">
        <v>72051685.17999999</v>
      </c>
      <c r="G224" s="141">
        <f t="shared" si="15"/>
        <v>2962254.019999996</v>
      </c>
      <c r="H224" s="145">
        <v>2788278.65</v>
      </c>
      <c r="I224" s="146">
        <v>0</v>
      </c>
      <c r="J224" s="34">
        <f t="shared" si="16"/>
        <v>18.44551014467826</v>
      </c>
      <c r="K224" s="47">
        <f t="shared" si="17"/>
        <v>0</v>
      </c>
      <c r="L224" s="45">
        <f t="shared" si="18"/>
        <v>3.71701403730575</v>
      </c>
      <c r="M224" s="46">
        <f t="shared" si="19"/>
        <v>0</v>
      </c>
    </row>
    <row r="225" spans="1:13" ht="12.75">
      <c r="A225" s="123" t="s">
        <v>35</v>
      </c>
      <c r="B225" s="120" t="s">
        <v>13</v>
      </c>
      <c r="C225" s="127" t="s">
        <v>339</v>
      </c>
      <c r="D225" s="130">
        <v>151505</v>
      </c>
      <c r="E225" s="137">
        <v>58335141.219999984</v>
      </c>
      <c r="F225" s="134">
        <v>52388686.02000008</v>
      </c>
      <c r="G225" s="141">
        <f t="shared" si="15"/>
        <v>5946455.199999906</v>
      </c>
      <c r="H225" s="145">
        <v>4749995</v>
      </c>
      <c r="I225" s="146">
        <v>0</v>
      </c>
      <c r="J225" s="34">
        <f t="shared" si="16"/>
        <v>31.35206758852843</v>
      </c>
      <c r="K225" s="47">
        <f t="shared" si="17"/>
        <v>0</v>
      </c>
      <c r="L225" s="45">
        <f t="shared" si="18"/>
        <v>8.142596213294983</v>
      </c>
      <c r="M225" s="46">
        <f t="shared" si="19"/>
        <v>0</v>
      </c>
    </row>
    <row r="226" spans="1:13" ht="12.75">
      <c r="A226" s="123" t="s">
        <v>35</v>
      </c>
      <c r="B226" s="120" t="s">
        <v>138</v>
      </c>
      <c r="C226" s="127" t="s">
        <v>367</v>
      </c>
      <c r="D226" s="130">
        <v>170822</v>
      </c>
      <c r="E226" s="137">
        <v>126407458.16999997</v>
      </c>
      <c r="F226" s="134">
        <v>129932580.64999989</v>
      </c>
      <c r="G226" s="141">
        <f t="shared" si="15"/>
        <v>-3525122.4799999148</v>
      </c>
      <c r="H226" s="145">
        <v>17023434.09</v>
      </c>
      <c r="I226" s="146">
        <v>1122.6</v>
      </c>
      <c r="J226" s="34">
        <f t="shared" si="16"/>
        <v>99.65598160658463</v>
      </c>
      <c r="K226" s="47">
        <f t="shared" si="17"/>
        <v>0.0065717530528854595</v>
      </c>
      <c r="L226" s="45">
        <f t="shared" si="18"/>
        <v>13.46711209642861</v>
      </c>
      <c r="M226" s="46">
        <f t="shared" si="19"/>
        <v>0.0008880805106374841</v>
      </c>
    </row>
    <row r="227" spans="1:13" ht="12.75">
      <c r="A227" s="123" t="s">
        <v>35</v>
      </c>
      <c r="B227" s="120" t="s">
        <v>15</v>
      </c>
      <c r="C227" s="127" t="s">
        <v>368</v>
      </c>
      <c r="D227" s="130">
        <v>133582</v>
      </c>
      <c r="E227" s="137">
        <v>54535956.69</v>
      </c>
      <c r="F227" s="134">
        <v>54211532.079999976</v>
      </c>
      <c r="G227" s="141">
        <f t="shared" si="15"/>
        <v>324424.61000002176</v>
      </c>
      <c r="H227" s="145">
        <v>10375206.78</v>
      </c>
      <c r="I227" s="146">
        <v>0</v>
      </c>
      <c r="J227" s="34">
        <f t="shared" si="16"/>
        <v>77.66919779611025</v>
      </c>
      <c r="K227" s="47">
        <f t="shared" si="17"/>
        <v>0</v>
      </c>
      <c r="L227" s="45">
        <f t="shared" si="18"/>
        <v>19.02452512014418</v>
      </c>
      <c r="M227" s="46">
        <f t="shared" si="19"/>
        <v>0</v>
      </c>
    </row>
    <row r="228" spans="1:13" ht="12.75">
      <c r="A228" s="123" t="s">
        <v>35</v>
      </c>
      <c r="B228" s="120" t="s">
        <v>141</v>
      </c>
      <c r="C228" s="127" t="s">
        <v>369</v>
      </c>
      <c r="D228" s="130">
        <v>114848</v>
      </c>
      <c r="E228" s="137">
        <v>48570864.62</v>
      </c>
      <c r="F228" s="134">
        <v>46733104.40999999</v>
      </c>
      <c r="G228" s="141">
        <f t="shared" si="15"/>
        <v>1837760.2100000083</v>
      </c>
      <c r="H228" s="145">
        <v>2138559.49</v>
      </c>
      <c r="I228" s="146">
        <v>0</v>
      </c>
      <c r="J228" s="34">
        <f t="shared" si="16"/>
        <v>18.620781293535806</v>
      </c>
      <c r="K228" s="47">
        <f t="shared" si="17"/>
        <v>0</v>
      </c>
      <c r="L228" s="45">
        <f t="shared" si="18"/>
        <v>4.4029677188810155</v>
      </c>
      <c r="M228" s="46">
        <f t="shared" si="19"/>
        <v>0</v>
      </c>
    </row>
    <row r="229" spans="1:13" ht="12.75">
      <c r="A229" s="123" t="s">
        <v>35</v>
      </c>
      <c r="B229" s="120" t="s">
        <v>17</v>
      </c>
      <c r="C229" s="127" t="s">
        <v>370</v>
      </c>
      <c r="D229" s="130">
        <v>84761</v>
      </c>
      <c r="E229" s="137">
        <v>39260583.95000001</v>
      </c>
      <c r="F229" s="134">
        <v>35504946.27000002</v>
      </c>
      <c r="G229" s="141">
        <f t="shared" si="15"/>
        <v>3755637.6799999923</v>
      </c>
      <c r="H229" s="145">
        <v>9324248.58</v>
      </c>
      <c r="I229" s="146">
        <v>0</v>
      </c>
      <c r="J229" s="34">
        <f t="shared" si="16"/>
        <v>110.00635410153255</v>
      </c>
      <c r="K229" s="47">
        <f t="shared" si="17"/>
        <v>0</v>
      </c>
      <c r="L229" s="45">
        <f t="shared" si="18"/>
        <v>23.749643132855127</v>
      </c>
      <c r="M229" s="46">
        <f t="shared" si="19"/>
        <v>0</v>
      </c>
    </row>
    <row r="230" spans="1:13" ht="12.75">
      <c r="A230" s="123" t="s">
        <v>35</v>
      </c>
      <c r="B230" s="120" t="s">
        <v>144</v>
      </c>
      <c r="C230" s="127" t="s">
        <v>371</v>
      </c>
      <c r="D230" s="130">
        <v>76530</v>
      </c>
      <c r="E230" s="137">
        <v>62104660.11</v>
      </c>
      <c r="F230" s="134">
        <v>68212965</v>
      </c>
      <c r="G230" s="141">
        <f t="shared" si="15"/>
        <v>-6108304.890000001</v>
      </c>
      <c r="H230" s="145">
        <v>13264444.56</v>
      </c>
      <c r="I230" s="146">
        <v>0</v>
      </c>
      <c r="J230" s="34">
        <f t="shared" si="16"/>
        <v>173.32346217169737</v>
      </c>
      <c r="K230" s="47">
        <f t="shared" si="17"/>
        <v>0</v>
      </c>
      <c r="L230" s="45">
        <f t="shared" si="18"/>
        <v>21.358211342765532</v>
      </c>
      <c r="M230" s="46">
        <f t="shared" si="19"/>
        <v>0</v>
      </c>
    </row>
    <row r="231" spans="1:13" ht="12.75">
      <c r="A231" s="123" t="s">
        <v>35</v>
      </c>
      <c r="B231" s="120" t="s">
        <v>19</v>
      </c>
      <c r="C231" s="127" t="s">
        <v>372</v>
      </c>
      <c r="D231" s="130">
        <v>91112</v>
      </c>
      <c r="E231" s="137">
        <v>56438031.22000002</v>
      </c>
      <c r="F231" s="134">
        <v>53398936.04999998</v>
      </c>
      <c r="G231" s="141">
        <f t="shared" si="15"/>
        <v>3039095.170000039</v>
      </c>
      <c r="H231" s="145">
        <v>16762527.69</v>
      </c>
      <c r="I231" s="146">
        <v>0</v>
      </c>
      <c r="J231" s="34">
        <f t="shared" si="16"/>
        <v>183.97716755202387</v>
      </c>
      <c r="K231" s="47">
        <f t="shared" si="17"/>
        <v>0</v>
      </c>
      <c r="L231" s="45">
        <f t="shared" si="18"/>
        <v>29.700766181333126</v>
      </c>
      <c r="M231" s="46">
        <f t="shared" si="19"/>
        <v>0</v>
      </c>
    </row>
    <row r="232" spans="1:13" ht="12.75">
      <c r="A232" s="123" t="s">
        <v>35</v>
      </c>
      <c r="B232" s="120" t="s">
        <v>147</v>
      </c>
      <c r="C232" s="127" t="s">
        <v>373</v>
      </c>
      <c r="D232" s="130">
        <v>71628</v>
      </c>
      <c r="E232" s="137">
        <v>42546168.43999999</v>
      </c>
      <c r="F232" s="134">
        <v>43374215.65000004</v>
      </c>
      <c r="G232" s="141">
        <f t="shared" si="15"/>
        <v>-828047.210000053</v>
      </c>
      <c r="H232" s="145">
        <v>1263302.14</v>
      </c>
      <c r="I232" s="146">
        <v>0</v>
      </c>
      <c r="J232" s="34">
        <f t="shared" si="16"/>
        <v>17.636987490925335</v>
      </c>
      <c r="K232" s="47">
        <f t="shared" si="17"/>
        <v>0</v>
      </c>
      <c r="L232" s="45">
        <f t="shared" si="18"/>
        <v>2.9692500789619873</v>
      </c>
      <c r="M232" s="46">
        <f t="shared" si="19"/>
        <v>0</v>
      </c>
    </row>
    <row r="233" spans="1:13" ht="12.75">
      <c r="A233" s="123" t="s">
        <v>35</v>
      </c>
      <c r="B233" s="120" t="s">
        <v>21</v>
      </c>
      <c r="C233" s="127" t="s">
        <v>374</v>
      </c>
      <c r="D233" s="130">
        <v>104828</v>
      </c>
      <c r="E233" s="137">
        <v>60434345.24999999</v>
      </c>
      <c r="F233" s="134">
        <v>60329998.78999996</v>
      </c>
      <c r="G233" s="141">
        <f t="shared" si="15"/>
        <v>104346.4600000307</v>
      </c>
      <c r="H233" s="145">
        <v>2945388</v>
      </c>
      <c r="I233" s="146">
        <v>0</v>
      </c>
      <c r="J233" s="34">
        <f t="shared" si="16"/>
        <v>28.097340405235244</v>
      </c>
      <c r="K233" s="47">
        <f t="shared" si="17"/>
        <v>0</v>
      </c>
      <c r="L233" s="45">
        <f t="shared" si="18"/>
        <v>4.87369886744988</v>
      </c>
      <c r="M233" s="46">
        <f t="shared" si="19"/>
        <v>0</v>
      </c>
    </row>
    <row r="234" spans="1:13" ht="12.75">
      <c r="A234" s="123" t="s">
        <v>35</v>
      </c>
      <c r="B234" s="120" t="s">
        <v>150</v>
      </c>
      <c r="C234" s="127" t="s">
        <v>375</v>
      </c>
      <c r="D234" s="130">
        <v>111204</v>
      </c>
      <c r="E234" s="137">
        <v>81289141.32999997</v>
      </c>
      <c r="F234" s="134">
        <v>80770614.93000002</v>
      </c>
      <c r="G234" s="141">
        <f t="shared" si="15"/>
        <v>518526.39999994636</v>
      </c>
      <c r="H234" s="145">
        <v>3414412.54</v>
      </c>
      <c r="I234" s="146">
        <v>623.68</v>
      </c>
      <c r="J234" s="34">
        <f t="shared" si="16"/>
        <v>30.70404427898277</v>
      </c>
      <c r="K234" s="47">
        <f t="shared" si="17"/>
        <v>0.005608431351390237</v>
      </c>
      <c r="L234" s="45">
        <f t="shared" si="18"/>
        <v>4.20033043052935</v>
      </c>
      <c r="M234" s="46">
        <f t="shared" si="19"/>
        <v>0.0007672365457375416</v>
      </c>
    </row>
    <row r="235" spans="1:13" ht="12.75">
      <c r="A235" s="123" t="s">
        <v>35</v>
      </c>
      <c r="B235" s="120" t="s">
        <v>23</v>
      </c>
      <c r="C235" s="127" t="s">
        <v>376</v>
      </c>
      <c r="D235" s="130">
        <v>73652</v>
      </c>
      <c r="E235" s="137">
        <v>28528080.480000004</v>
      </c>
      <c r="F235" s="134">
        <v>28234723.560000006</v>
      </c>
      <c r="G235" s="141">
        <f t="shared" si="15"/>
        <v>293356.91999999806</v>
      </c>
      <c r="H235" s="145">
        <v>2146942.16</v>
      </c>
      <c r="I235" s="146">
        <v>0</v>
      </c>
      <c r="J235" s="34">
        <f t="shared" si="16"/>
        <v>29.14981480475751</v>
      </c>
      <c r="K235" s="47">
        <f t="shared" si="17"/>
        <v>0</v>
      </c>
      <c r="L235" s="45">
        <f t="shared" si="18"/>
        <v>7.525715449047274</v>
      </c>
      <c r="M235" s="46">
        <f t="shared" si="19"/>
        <v>0</v>
      </c>
    </row>
    <row r="236" spans="1:13" ht="12.75">
      <c r="A236" s="123" t="s">
        <v>35</v>
      </c>
      <c r="B236" s="120" t="s">
        <v>153</v>
      </c>
      <c r="C236" s="127" t="s">
        <v>377</v>
      </c>
      <c r="D236" s="130">
        <v>137830</v>
      </c>
      <c r="E236" s="137">
        <v>108171693.22999996</v>
      </c>
      <c r="F236" s="134">
        <v>105526214.10000014</v>
      </c>
      <c r="G236" s="141">
        <f t="shared" si="15"/>
        <v>2645479.1299998164</v>
      </c>
      <c r="H236" s="145">
        <v>16484525.6</v>
      </c>
      <c r="I236" s="146">
        <v>0</v>
      </c>
      <c r="J236" s="34">
        <f t="shared" si="16"/>
        <v>119.60041790611622</v>
      </c>
      <c r="K236" s="47">
        <f t="shared" si="17"/>
        <v>0</v>
      </c>
      <c r="L236" s="45">
        <f t="shared" si="18"/>
        <v>15.239223042344168</v>
      </c>
      <c r="M236" s="46">
        <f t="shared" si="19"/>
        <v>0</v>
      </c>
    </row>
    <row r="237" spans="1:13" ht="12.75">
      <c r="A237" s="123" t="s">
        <v>35</v>
      </c>
      <c r="B237" s="120" t="s">
        <v>25</v>
      </c>
      <c r="C237" s="127" t="s">
        <v>378</v>
      </c>
      <c r="D237" s="130">
        <v>56017</v>
      </c>
      <c r="E237" s="137">
        <v>24617282.48999999</v>
      </c>
      <c r="F237" s="134">
        <v>24083102.939999986</v>
      </c>
      <c r="G237" s="141">
        <f t="shared" si="15"/>
        <v>534179.5500000045</v>
      </c>
      <c r="H237" s="145">
        <v>2223658.72</v>
      </c>
      <c r="I237" s="146">
        <v>0</v>
      </c>
      <c r="J237" s="34">
        <f t="shared" si="16"/>
        <v>39.69614081439563</v>
      </c>
      <c r="K237" s="47">
        <f t="shared" si="17"/>
        <v>0</v>
      </c>
      <c r="L237" s="45">
        <f t="shared" si="18"/>
        <v>9.032917101647158</v>
      </c>
      <c r="M237" s="46">
        <f t="shared" si="19"/>
        <v>0</v>
      </c>
    </row>
    <row r="238" spans="1:13" ht="12.75">
      <c r="A238" s="123" t="s">
        <v>35</v>
      </c>
      <c r="B238" s="120" t="s">
        <v>156</v>
      </c>
      <c r="C238" s="127" t="s">
        <v>379</v>
      </c>
      <c r="D238" s="130">
        <v>155222</v>
      </c>
      <c r="E238" s="137">
        <v>96951696.87000005</v>
      </c>
      <c r="F238" s="134">
        <v>95869571.30999993</v>
      </c>
      <c r="G238" s="141">
        <f t="shared" si="15"/>
        <v>1082125.5600001216</v>
      </c>
      <c r="H238" s="145">
        <v>4843534.5</v>
      </c>
      <c r="I238" s="146">
        <v>0</v>
      </c>
      <c r="J238" s="34">
        <f t="shared" si="16"/>
        <v>31.2039176147711</v>
      </c>
      <c r="K238" s="47">
        <f t="shared" si="17"/>
        <v>0</v>
      </c>
      <c r="L238" s="45">
        <f t="shared" si="18"/>
        <v>4.995822307777209</v>
      </c>
      <c r="M238" s="46">
        <f t="shared" si="19"/>
        <v>0</v>
      </c>
    </row>
    <row r="239" spans="1:13" ht="12.75">
      <c r="A239" s="123" t="s">
        <v>35</v>
      </c>
      <c r="B239" s="120" t="s">
        <v>27</v>
      </c>
      <c r="C239" s="127" t="s">
        <v>380</v>
      </c>
      <c r="D239" s="130">
        <v>123901</v>
      </c>
      <c r="E239" s="137">
        <v>77221231.78</v>
      </c>
      <c r="F239" s="134">
        <v>77550256.71000001</v>
      </c>
      <c r="G239" s="141">
        <f t="shared" si="15"/>
        <v>-329024.93000000715</v>
      </c>
      <c r="H239" s="145">
        <v>11039572</v>
      </c>
      <c r="I239" s="146">
        <v>0</v>
      </c>
      <c r="J239" s="34">
        <f t="shared" si="16"/>
        <v>89.09994269618485</v>
      </c>
      <c r="K239" s="47">
        <f t="shared" si="17"/>
        <v>0</v>
      </c>
      <c r="L239" s="45">
        <f t="shared" si="18"/>
        <v>14.296031992148572</v>
      </c>
      <c r="M239" s="46">
        <f t="shared" si="19"/>
        <v>0</v>
      </c>
    </row>
    <row r="240" spans="1:13" ht="12.75">
      <c r="A240" s="123" t="s">
        <v>35</v>
      </c>
      <c r="B240" s="120" t="s">
        <v>159</v>
      </c>
      <c r="C240" s="127" t="s">
        <v>381</v>
      </c>
      <c r="D240" s="130">
        <v>149779</v>
      </c>
      <c r="E240" s="137">
        <v>89405142.39000003</v>
      </c>
      <c r="F240" s="134">
        <v>89478700.39000009</v>
      </c>
      <c r="G240" s="141">
        <f t="shared" si="15"/>
        <v>-73558.0000000596</v>
      </c>
      <c r="H240" s="145">
        <v>22444880.84</v>
      </c>
      <c r="I240" s="146">
        <v>52</v>
      </c>
      <c r="J240" s="34">
        <f t="shared" si="16"/>
        <v>149.853322828968</v>
      </c>
      <c r="K240" s="47">
        <f t="shared" si="17"/>
        <v>0.0003471781758457461</v>
      </c>
      <c r="L240" s="45">
        <f t="shared" si="18"/>
        <v>25.104686643293643</v>
      </c>
      <c r="M240" s="46">
        <f t="shared" si="19"/>
        <v>5.81622025421842E-05</v>
      </c>
    </row>
    <row r="241" spans="1:13" ht="12.75">
      <c r="A241" s="123" t="s">
        <v>37</v>
      </c>
      <c r="B241" s="120" t="s">
        <v>135</v>
      </c>
      <c r="C241" s="127" t="s">
        <v>382</v>
      </c>
      <c r="D241" s="130">
        <v>73713</v>
      </c>
      <c r="E241" s="137">
        <v>62444340.87999998</v>
      </c>
      <c r="F241" s="134">
        <v>60408000.12999995</v>
      </c>
      <c r="G241" s="141">
        <f t="shared" si="15"/>
        <v>2036340.7500000298</v>
      </c>
      <c r="H241" s="145">
        <v>4354140</v>
      </c>
      <c r="I241" s="146">
        <v>0</v>
      </c>
      <c r="J241" s="34">
        <f t="shared" si="16"/>
        <v>59.068820967807575</v>
      </c>
      <c r="K241" s="47">
        <f t="shared" si="17"/>
        <v>0</v>
      </c>
      <c r="L241" s="45">
        <f t="shared" si="18"/>
        <v>6.972833628538737</v>
      </c>
      <c r="M241" s="46">
        <f t="shared" si="19"/>
        <v>0</v>
      </c>
    </row>
    <row r="242" spans="1:13" ht="12.75">
      <c r="A242" s="123" t="s">
        <v>37</v>
      </c>
      <c r="B242" s="120" t="s">
        <v>13</v>
      </c>
      <c r="C242" s="127" t="s">
        <v>383</v>
      </c>
      <c r="D242" s="130">
        <v>89325</v>
      </c>
      <c r="E242" s="137">
        <v>56127520.45</v>
      </c>
      <c r="F242" s="134">
        <v>59262949.59000001</v>
      </c>
      <c r="G242" s="141">
        <f t="shared" si="15"/>
        <v>-3135429.140000008</v>
      </c>
      <c r="H242" s="145">
        <v>18629636</v>
      </c>
      <c r="I242" s="146">
        <v>0</v>
      </c>
      <c r="J242" s="34">
        <f t="shared" si="16"/>
        <v>208.56015673103835</v>
      </c>
      <c r="K242" s="47">
        <f t="shared" si="17"/>
        <v>0</v>
      </c>
      <c r="L242" s="45">
        <f t="shared" si="18"/>
        <v>33.19162480479751</v>
      </c>
      <c r="M242" s="46">
        <f t="shared" si="19"/>
        <v>0</v>
      </c>
    </row>
    <row r="243" spans="1:13" ht="12.75">
      <c r="A243" s="123" t="s">
        <v>37</v>
      </c>
      <c r="B243" s="120" t="s">
        <v>138</v>
      </c>
      <c r="C243" s="127" t="s">
        <v>384</v>
      </c>
      <c r="D243" s="130">
        <v>35646</v>
      </c>
      <c r="E243" s="137">
        <v>26151139.86</v>
      </c>
      <c r="F243" s="134">
        <v>25240247.119999986</v>
      </c>
      <c r="G243" s="141">
        <f t="shared" si="15"/>
        <v>910892.7400000133</v>
      </c>
      <c r="H243" s="145">
        <v>7673316.93</v>
      </c>
      <c r="I243" s="146">
        <v>4048.93</v>
      </c>
      <c r="J243" s="34">
        <f t="shared" si="16"/>
        <v>215.26445968692138</v>
      </c>
      <c r="K243" s="47">
        <f t="shared" si="17"/>
        <v>0.11358721876227346</v>
      </c>
      <c r="L243" s="45">
        <f t="shared" si="18"/>
        <v>29.342189178288457</v>
      </c>
      <c r="M243" s="46">
        <f t="shared" si="19"/>
        <v>0.015482805038999934</v>
      </c>
    </row>
    <row r="244" spans="1:13" ht="12.75">
      <c r="A244" s="123" t="s">
        <v>37</v>
      </c>
      <c r="B244" s="120" t="s">
        <v>15</v>
      </c>
      <c r="C244" s="127" t="s">
        <v>385</v>
      </c>
      <c r="D244" s="130">
        <v>198857</v>
      </c>
      <c r="E244" s="137">
        <v>86655064.89000003</v>
      </c>
      <c r="F244" s="134">
        <v>86186944.70999993</v>
      </c>
      <c r="G244" s="141">
        <f t="shared" si="15"/>
        <v>468120.18000009656</v>
      </c>
      <c r="H244" s="145">
        <v>15680441.15</v>
      </c>
      <c r="I244" s="146">
        <v>6451.15</v>
      </c>
      <c r="J244" s="34">
        <f t="shared" si="16"/>
        <v>78.85284978653002</v>
      </c>
      <c r="K244" s="47">
        <f t="shared" si="17"/>
        <v>0.032441151178987916</v>
      </c>
      <c r="L244" s="45">
        <f t="shared" si="18"/>
        <v>18.095239060642047</v>
      </c>
      <c r="M244" s="46">
        <f t="shared" si="19"/>
        <v>0.00744463120325291</v>
      </c>
    </row>
    <row r="245" spans="1:13" ht="12.75">
      <c r="A245" s="123" t="s">
        <v>37</v>
      </c>
      <c r="B245" s="120" t="s">
        <v>141</v>
      </c>
      <c r="C245" s="127" t="s">
        <v>386</v>
      </c>
      <c r="D245" s="130">
        <v>84036</v>
      </c>
      <c r="E245" s="137">
        <v>52579642.29999999</v>
      </c>
      <c r="F245" s="134">
        <v>50798312.179999985</v>
      </c>
      <c r="G245" s="141">
        <f t="shared" si="15"/>
        <v>1781330.1200000048</v>
      </c>
      <c r="H245" s="145">
        <v>2000000</v>
      </c>
      <c r="I245" s="146">
        <v>0</v>
      </c>
      <c r="J245" s="34">
        <f t="shared" si="16"/>
        <v>23.799324099195584</v>
      </c>
      <c r="K245" s="47">
        <f t="shared" si="17"/>
        <v>0</v>
      </c>
      <c r="L245" s="45">
        <f t="shared" si="18"/>
        <v>3.8037535299094274</v>
      </c>
      <c r="M245" s="46">
        <f t="shared" si="19"/>
        <v>0</v>
      </c>
    </row>
    <row r="246" spans="1:13" ht="12.75">
      <c r="A246" s="123" t="s">
        <v>37</v>
      </c>
      <c r="B246" s="120" t="s">
        <v>17</v>
      </c>
      <c r="C246" s="127" t="s">
        <v>387</v>
      </c>
      <c r="D246" s="130">
        <v>56543</v>
      </c>
      <c r="E246" s="137">
        <v>53319117.160000004</v>
      </c>
      <c r="F246" s="134">
        <v>56079097.509999946</v>
      </c>
      <c r="G246" s="141">
        <f t="shared" si="15"/>
        <v>-2759980.349999942</v>
      </c>
      <c r="H246" s="145">
        <v>4000000</v>
      </c>
      <c r="I246" s="146">
        <v>0</v>
      </c>
      <c r="J246" s="34">
        <f t="shared" si="16"/>
        <v>70.74262066038236</v>
      </c>
      <c r="K246" s="47">
        <f t="shared" si="17"/>
        <v>0</v>
      </c>
      <c r="L246" s="45">
        <f t="shared" si="18"/>
        <v>7.501999682396841</v>
      </c>
      <c r="M246" s="46">
        <f t="shared" si="19"/>
        <v>0</v>
      </c>
    </row>
    <row r="247" spans="1:13" ht="12.75">
      <c r="A247" s="123" t="s">
        <v>37</v>
      </c>
      <c r="B247" s="120" t="s">
        <v>144</v>
      </c>
      <c r="C247" s="127" t="s">
        <v>388</v>
      </c>
      <c r="D247" s="130">
        <v>115859</v>
      </c>
      <c r="E247" s="137">
        <v>81347006.11000004</v>
      </c>
      <c r="F247" s="134">
        <v>83278305.7599999</v>
      </c>
      <c r="G247" s="141">
        <f t="shared" si="15"/>
        <v>-1931299.649999857</v>
      </c>
      <c r="H247" s="145">
        <v>20763893.79</v>
      </c>
      <c r="I247" s="146">
        <v>0</v>
      </c>
      <c r="J247" s="34">
        <f t="shared" si="16"/>
        <v>179.216925659638</v>
      </c>
      <c r="K247" s="47">
        <f t="shared" si="17"/>
        <v>0</v>
      </c>
      <c r="L247" s="45">
        <f t="shared" si="18"/>
        <v>25.525086641692003</v>
      </c>
      <c r="M247" s="46">
        <f t="shared" si="19"/>
        <v>0</v>
      </c>
    </row>
    <row r="248" spans="1:13" ht="12.75">
      <c r="A248" s="123" t="s">
        <v>37</v>
      </c>
      <c r="B248" s="120" t="s">
        <v>19</v>
      </c>
      <c r="C248" s="127" t="s">
        <v>389</v>
      </c>
      <c r="D248" s="130">
        <v>42071</v>
      </c>
      <c r="E248" s="137">
        <v>30015337.589999992</v>
      </c>
      <c r="F248" s="134">
        <v>30743966.849999998</v>
      </c>
      <c r="G248" s="141">
        <f t="shared" si="15"/>
        <v>-728629.2600000054</v>
      </c>
      <c r="H248" s="145">
        <v>11063198.53</v>
      </c>
      <c r="I248" s="146">
        <v>0</v>
      </c>
      <c r="J248" s="34">
        <f t="shared" si="16"/>
        <v>262.96495281785553</v>
      </c>
      <c r="K248" s="47">
        <f t="shared" si="17"/>
        <v>0</v>
      </c>
      <c r="L248" s="45">
        <f t="shared" si="18"/>
        <v>36.85848442259683</v>
      </c>
      <c r="M248" s="46">
        <f t="shared" si="19"/>
        <v>0</v>
      </c>
    </row>
    <row r="249" spans="1:13" ht="12.75">
      <c r="A249" s="123" t="s">
        <v>37</v>
      </c>
      <c r="B249" s="120" t="s">
        <v>147</v>
      </c>
      <c r="C249" s="127" t="s">
        <v>390</v>
      </c>
      <c r="D249" s="130">
        <v>81491</v>
      </c>
      <c r="E249" s="137">
        <v>56030913.38000002</v>
      </c>
      <c r="F249" s="134">
        <v>56960788.15999998</v>
      </c>
      <c r="G249" s="141">
        <f t="shared" si="15"/>
        <v>-929874.7799999639</v>
      </c>
      <c r="H249" s="145">
        <v>3996460.23</v>
      </c>
      <c r="I249" s="146">
        <v>0</v>
      </c>
      <c r="J249" s="34">
        <f t="shared" si="16"/>
        <v>49.04173749248383</v>
      </c>
      <c r="K249" s="47">
        <f t="shared" si="17"/>
        <v>0</v>
      </c>
      <c r="L249" s="45">
        <f t="shared" si="18"/>
        <v>7.132598754719781</v>
      </c>
      <c r="M249" s="46">
        <f t="shared" si="19"/>
        <v>0</v>
      </c>
    </row>
    <row r="250" spans="1:13" ht="12.75">
      <c r="A250" s="123" t="s">
        <v>37</v>
      </c>
      <c r="B250" s="120" t="s">
        <v>21</v>
      </c>
      <c r="C250" s="127" t="s">
        <v>391</v>
      </c>
      <c r="D250" s="130">
        <v>79730</v>
      </c>
      <c r="E250" s="137">
        <v>66387934.60999998</v>
      </c>
      <c r="F250" s="134">
        <v>65111369.78000001</v>
      </c>
      <c r="G250" s="141">
        <f t="shared" si="15"/>
        <v>1276564.8299999684</v>
      </c>
      <c r="H250" s="145">
        <v>3139124.19</v>
      </c>
      <c r="I250" s="146">
        <v>9165.19</v>
      </c>
      <c r="J250" s="34">
        <f t="shared" si="16"/>
        <v>39.37193264768594</v>
      </c>
      <c r="K250" s="47">
        <f t="shared" si="17"/>
        <v>0.11495284083782767</v>
      </c>
      <c r="L250" s="45">
        <f t="shared" si="18"/>
        <v>4.7284558684360025</v>
      </c>
      <c r="M250" s="46">
        <f t="shared" si="19"/>
        <v>0.0138055055543473</v>
      </c>
    </row>
    <row r="251" spans="1:13" ht="12.75">
      <c r="A251" s="123" t="s">
        <v>37</v>
      </c>
      <c r="B251" s="120" t="s">
        <v>150</v>
      </c>
      <c r="C251" s="127" t="s">
        <v>392</v>
      </c>
      <c r="D251" s="130">
        <v>94294</v>
      </c>
      <c r="E251" s="137">
        <v>69966114.89</v>
      </c>
      <c r="F251" s="134">
        <v>67531881.67000003</v>
      </c>
      <c r="G251" s="141">
        <f t="shared" si="15"/>
        <v>2434233.219999969</v>
      </c>
      <c r="H251" s="145">
        <v>6793000</v>
      </c>
      <c r="I251" s="146">
        <v>0</v>
      </c>
      <c r="J251" s="34">
        <f t="shared" si="16"/>
        <v>72.04063885294929</v>
      </c>
      <c r="K251" s="47">
        <f t="shared" si="17"/>
        <v>0</v>
      </c>
      <c r="L251" s="45">
        <f t="shared" si="18"/>
        <v>9.708985572058538</v>
      </c>
      <c r="M251" s="46">
        <f t="shared" si="19"/>
        <v>0</v>
      </c>
    </row>
    <row r="252" spans="1:13" ht="12.75">
      <c r="A252" s="123" t="s">
        <v>37</v>
      </c>
      <c r="B252" s="120" t="s">
        <v>23</v>
      </c>
      <c r="C252" s="127" t="s">
        <v>393</v>
      </c>
      <c r="D252" s="130">
        <v>73955</v>
      </c>
      <c r="E252" s="137">
        <v>50687495.19000002</v>
      </c>
      <c r="F252" s="134">
        <v>53180296.44</v>
      </c>
      <c r="G252" s="141">
        <f t="shared" si="15"/>
        <v>-2492801.2499999776</v>
      </c>
      <c r="H252" s="145">
        <v>14728777</v>
      </c>
      <c r="I252" s="146">
        <v>0</v>
      </c>
      <c r="J252" s="34">
        <f t="shared" si="16"/>
        <v>199.15863700899195</v>
      </c>
      <c r="K252" s="47">
        <f t="shared" si="17"/>
        <v>0</v>
      </c>
      <c r="L252" s="45">
        <f t="shared" si="18"/>
        <v>29.05800916930256</v>
      </c>
      <c r="M252" s="46">
        <f t="shared" si="19"/>
        <v>0</v>
      </c>
    </row>
    <row r="253" spans="1:13" ht="12.75">
      <c r="A253" s="123" t="s">
        <v>37</v>
      </c>
      <c r="B253" s="120" t="s">
        <v>153</v>
      </c>
      <c r="C253" s="127" t="s">
        <v>394</v>
      </c>
      <c r="D253" s="130">
        <v>47130</v>
      </c>
      <c r="E253" s="137">
        <v>29948965.640000004</v>
      </c>
      <c r="F253" s="134">
        <v>29866757.66</v>
      </c>
      <c r="G253" s="141">
        <f t="shared" si="15"/>
        <v>82207.98000000417</v>
      </c>
      <c r="H253" s="145">
        <v>1656203</v>
      </c>
      <c r="I253" s="146">
        <v>0</v>
      </c>
      <c r="J253" s="34">
        <f t="shared" si="16"/>
        <v>35.1411627413537</v>
      </c>
      <c r="K253" s="47">
        <f t="shared" si="17"/>
        <v>0</v>
      </c>
      <c r="L253" s="45">
        <f t="shared" si="18"/>
        <v>5.530084143500322</v>
      </c>
      <c r="M253" s="46">
        <f t="shared" si="19"/>
        <v>0</v>
      </c>
    </row>
    <row r="254" spans="1:13" ht="12.75">
      <c r="A254" s="123" t="s">
        <v>39</v>
      </c>
      <c r="B254" s="120" t="s">
        <v>135</v>
      </c>
      <c r="C254" s="127" t="s">
        <v>395</v>
      </c>
      <c r="D254" s="130">
        <v>61219</v>
      </c>
      <c r="E254" s="137">
        <v>44362628.53000004</v>
      </c>
      <c r="F254" s="134">
        <v>42460609.950000025</v>
      </c>
      <c r="G254" s="141">
        <f t="shared" si="15"/>
        <v>1902018.580000013</v>
      </c>
      <c r="H254" s="145">
        <v>12721040.39</v>
      </c>
      <c r="I254" s="146">
        <v>0</v>
      </c>
      <c r="J254" s="34">
        <f t="shared" si="16"/>
        <v>207.79562537774223</v>
      </c>
      <c r="K254" s="47">
        <f t="shared" si="17"/>
        <v>0</v>
      </c>
      <c r="L254" s="45">
        <f t="shared" si="18"/>
        <v>28.67512771791115</v>
      </c>
      <c r="M254" s="46">
        <f t="shared" si="19"/>
        <v>0</v>
      </c>
    </row>
    <row r="255" spans="1:13" ht="12.75">
      <c r="A255" s="123" t="s">
        <v>39</v>
      </c>
      <c r="B255" s="120" t="s">
        <v>13</v>
      </c>
      <c r="C255" s="127" t="s">
        <v>396</v>
      </c>
      <c r="D255" s="130">
        <v>43531</v>
      </c>
      <c r="E255" s="137">
        <v>32901695.689999994</v>
      </c>
      <c r="F255" s="134">
        <v>31568392.330000006</v>
      </c>
      <c r="G255" s="141">
        <f t="shared" si="15"/>
        <v>1333303.3599999882</v>
      </c>
      <c r="H255" s="145">
        <v>10167274.71</v>
      </c>
      <c r="I255" s="146">
        <v>0</v>
      </c>
      <c r="J255" s="34">
        <f t="shared" si="16"/>
        <v>233.56400519170248</v>
      </c>
      <c r="K255" s="47">
        <f t="shared" si="17"/>
        <v>0</v>
      </c>
      <c r="L255" s="45">
        <f t="shared" si="18"/>
        <v>30.901977836632295</v>
      </c>
      <c r="M255" s="46">
        <f t="shared" si="19"/>
        <v>0</v>
      </c>
    </row>
    <row r="256" spans="1:13" ht="12.75">
      <c r="A256" s="123" t="s">
        <v>39</v>
      </c>
      <c r="B256" s="120" t="s">
        <v>138</v>
      </c>
      <c r="C256" s="127" t="s">
        <v>397</v>
      </c>
      <c r="D256" s="130">
        <v>65025</v>
      </c>
      <c r="E256" s="137">
        <v>38010385.56999999</v>
      </c>
      <c r="F256" s="134">
        <v>35700052.629999995</v>
      </c>
      <c r="G256" s="141">
        <f t="shared" si="15"/>
        <v>2310332.9399999976</v>
      </c>
      <c r="H256" s="145">
        <v>1324219.76</v>
      </c>
      <c r="I256" s="146">
        <v>0</v>
      </c>
      <c r="J256" s="34">
        <f t="shared" si="16"/>
        <v>20.36477908496732</v>
      </c>
      <c r="K256" s="47">
        <f t="shared" si="17"/>
        <v>0</v>
      </c>
      <c r="L256" s="45">
        <f t="shared" si="18"/>
        <v>3.483836693951222</v>
      </c>
      <c r="M256" s="46">
        <f t="shared" si="19"/>
        <v>0</v>
      </c>
    </row>
    <row r="257" spans="1:13" ht="12.75">
      <c r="A257" s="123" t="s">
        <v>39</v>
      </c>
      <c r="B257" s="120" t="s">
        <v>15</v>
      </c>
      <c r="C257" s="127" t="s">
        <v>398</v>
      </c>
      <c r="D257" s="130">
        <v>56466</v>
      </c>
      <c r="E257" s="137">
        <v>36867167.769999996</v>
      </c>
      <c r="F257" s="134">
        <v>33653720.559999995</v>
      </c>
      <c r="G257" s="141">
        <f t="shared" si="15"/>
        <v>3213447.210000001</v>
      </c>
      <c r="H257" s="145">
        <v>11492969.67</v>
      </c>
      <c r="I257" s="146">
        <v>4067</v>
      </c>
      <c r="J257" s="34">
        <f t="shared" si="16"/>
        <v>203.5378753586229</v>
      </c>
      <c r="K257" s="47">
        <f t="shared" si="17"/>
        <v>0.07202564375022137</v>
      </c>
      <c r="L257" s="45">
        <f t="shared" si="18"/>
        <v>31.173996716265794</v>
      </c>
      <c r="M257" s="46">
        <f t="shared" si="19"/>
        <v>0.011031495626060674</v>
      </c>
    </row>
    <row r="258" spans="1:13" ht="12.75">
      <c r="A258" s="123" t="s">
        <v>39</v>
      </c>
      <c r="B258" s="120" t="s">
        <v>141</v>
      </c>
      <c r="C258" s="127" t="s">
        <v>399</v>
      </c>
      <c r="D258" s="130">
        <v>85020</v>
      </c>
      <c r="E258" s="137">
        <v>76266140.87999998</v>
      </c>
      <c r="F258" s="134">
        <v>74581310.7499999</v>
      </c>
      <c r="G258" s="141">
        <f t="shared" si="15"/>
        <v>1684830.1300000846</v>
      </c>
      <c r="H258" s="145">
        <v>12085163.13</v>
      </c>
      <c r="I258" s="146">
        <v>0</v>
      </c>
      <c r="J258" s="34">
        <f t="shared" si="16"/>
        <v>142.144943895554</v>
      </c>
      <c r="K258" s="47">
        <f t="shared" si="17"/>
        <v>0</v>
      </c>
      <c r="L258" s="45">
        <f t="shared" si="18"/>
        <v>15.846039920933263</v>
      </c>
      <c r="M258" s="46">
        <f t="shared" si="19"/>
        <v>0</v>
      </c>
    </row>
    <row r="259" spans="1:13" ht="12.75">
      <c r="A259" s="123" t="s">
        <v>39</v>
      </c>
      <c r="B259" s="120" t="s">
        <v>17</v>
      </c>
      <c r="C259" s="127" t="s">
        <v>400</v>
      </c>
      <c r="D259" s="130">
        <v>56816</v>
      </c>
      <c r="E259" s="137">
        <v>47475884.249999985</v>
      </c>
      <c r="F259" s="134">
        <v>47690006.480000004</v>
      </c>
      <c r="G259" s="141">
        <f t="shared" si="15"/>
        <v>-214122.23000001907</v>
      </c>
      <c r="H259" s="145">
        <v>6267021.11</v>
      </c>
      <c r="I259" s="146">
        <v>0</v>
      </c>
      <c r="J259" s="34">
        <f t="shared" si="16"/>
        <v>110.30380720219657</v>
      </c>
      <c r="K259" s="47">
        <f t="shared" si="17"/>
        <v>0</v>
      </c>
      <c r="L259" s="45">
        <f t="shared" si="18"/>
        <v>13.200430511202121</v>
      </c>
      <c r="M259" s="46">
        <f t="shared" si="19"/>
        <v>0</v>
      </c>
    </row>
    <row r="260" spans="1:13" ht="12.75">
      <c r="A260" s="123" t="s">
        <v>39</v>
      </c>
      <c r="B260" s="120" t="s">
        <v>144</v>
      </c>
      <c r="C260" s="127" t="s">
        <v>401</v>
      </c>
      <c r="D260" s="130">
        <v>89946</v>
      </c>
      <c r="E260" s="137">
        <v>59026342.63</v>
      </c>
      <c r="F260" s="134">
        <v>60636769.97999995</v>
      </c>
      <c r="G260" s="141">
        <f t="shared" si="15"/>
        <v>-1610427.3499999493</v>
      </c>
      <c r="H260" s="145">
        <v>23436701</v>
      </c>
      <c r="I260" s="146">
        <v>6730</v>
      </c>
      <c r="J260" s="34">
        <f t="shared" si="16"/>
        <v>260.5641273653081</v>
      </c>
      <c r="K260" s="47">
        <f t="shared" si="17"/>
        <v>0.07482267138060614</v>
      </c>
      <c r="L260" s="45">
        <f t="shared" si="18"/>
        <v>39.70549411626318</v>
      </c>
      <c r="M260" s="46">
        <f t="shared" si="19"/>
        <v>0.011401688975016205</v>
      </c>
    </row>
    <row r="261" spans="1:13" ht="12.75">
      <c r="A261" s="123" t="s">
        <v>39</v>
      </c>
      <c r="B261" s="120" t="s">
        <v>19</v>
      </c>
      <c r="C261" s="127" t="s">
        <v>402</v>
      </c>
      <c r="D261" s="130">
        <v>66285</v>
      </c>
      <c r="E261" s="137">
        <v>54476634.14999999</v>
      </c>
      <c r="F261" s="134">
        <v>53481272.339999996</v>
      </c>
      <c r="G261" s="141">
        <f t="shared" si="15"/>
        <v>995361.8099999949</v>
      </c>
      <c r="H261" s="145">
        <v>21499328.02</v>
      </c>
      <c r="I261" s="146">
        <v>30810.76</v>
      </c>
      <c r="J261" s="34">
        <f t="shared" si="16"/>
        <v>324.34680576299314</v>
      </c>
      <c r="K261" s="47">
        <f t="shared" si="17"/>
        <v>0.46482250886324206</v>
      </c>
      <c r="L261" s="45">
        <f t="shared" si="18"/>
        <v>39.46522826796193</v>
      </c>
      <c r="M261" s="46">
        <f t="shared" si="19"/>
        <v>0.05655775265990805</v>
      </c>
    </row>
    <row r="262" spans="1:13" ht="12.75">
      <c r="A262" s="123" t="s">
        <v>39</v>
      </c>
      <c r="B262" s="120" t="s">
        <v>147</v>
      </c>
      <c r="C262" s="127" t="s">
        <v>403</v>
      </c>
      <c r="D262" s="130">
        <v>42823</v>
      </c>
      <c r="E262" s="137">
        <v>39734313.150000006</v>
      </c>
      <c r="F262" s="134">
        <v>37325472.21999999</v>
      </c>
      <c r="G262" s="141">
        <f t="shared" si="15"/>
        <v>2408840.9300000146</v>
      </c>
      <c r="H262" s="145">
        <v>8776445.2</v>
      </c>
      <c r="I262" s="146">
        <v>0</v>
      </c>
      <c r="J262" s="34">
        <f t="shared" si="16"/>
        <v>204.9469957732994</v>
      </c>
      <c r="K262" s="47">
        <f t="shared" si="17"/>
        <v>0</v>
      </c>
      <c r="L262" s="45">
        <f t="shared" si="18"/>
        <v>22.087824110280355</v>
      </c>
      <c r="M262" s="46">
        <f t="shared" si="19"/>
        <v>0</v>
      </c>
    </row>
    <row r="263" spans="1:13" ht="12.75">
      <c r="A263" s="123" t="s">
        <v>39</v>
      </c>
      <c r="B263" s="120" t="s">
        <v>21</v>
      </c>
      <c r="C263" s="127" t="s">
        <v>404</v>
      </c>
      <c r="D263" s="130">
        <v>50046</v>
      </c>
      <c r="E263" s="137">
        <v>39400544.12</v>
      </c>
      <c r="F263" s="134">
        <v>41212488.75000003</v>
      </c>
      <c r="G263" s="141">
        <f t="shared" si="15"/>
        <v>-1811944.6300000325</v>
      </c>
      <c r="H263" s="145">
        <v>8580000</v>
      </c>
      <c r="I263" s="146">
        <v>0</v>
      </c>
      <c r="J263" s="34">
        <f t="shared" si="16"/>
        <v>171.44227310873995</v>
      </c>
      <c r="K263" s="47">
        <f t="shared" si="17"/>
        <v>0</v>
      </c>
      <c r="L263" s="45">
        <f t="shared" si="18"/>
        <v>21.77634901149685</v>
      </c>
      <c r="M263" s="46">
        <f t="shared" si="19"/>
        <v>0</v>
      </c>
    </row>
    <row r="264" spans="1:13" ht="12.75">
      <c r="A264" s="123" t="s">
        <v>39</v>
      </c>
      <c r="B264" s="120" t="s">
        <v>150</v>
      </c>
      <c r="C264" s="127" t="s">
        <v>405</v>
      </c>
      <c r="D264" s="130">
        <v>33892</v>
      </c>
      <c r="E264" s="137">
        <v>27897713.56</v>
      </c>
      <c r="F264" s="134">
        <v>30269574.089999977</v>
      </c>
      <c r="G264" s="141">
        <f aca="true" t="shared" si="20" ref="G264:G321">E264-F264</f>
        <v>-2371860.529999979</v>
      </c>
      <c r="H264" s="145">
        <v>4927784.32</v>
      </c>
      <c r="I264" s="146">
        <v>29422.32</v>
      </c>
      <c r="J264" s="34">
        <f aca="true" t="shared" si="21" ref="J264:J322">H264/D264</f>
        <v>145.39668122270743</v>
      </c>
      <c r="K264" s="47">
        <f aca="true" t="shared" si="22" ref="K264:K322">I264/D264</f>
        <v>0.8681199103033164</v>
      </c>
      <c r="L264" s="45">
        <f aca="true" t="shared" si="23" ref="L264:L322">H264/E264*100</f>
        <v>17.663756957722526</v>
      </c>
      <c r="M264" s="46">
        <f aca="true" t="shared" si="24" ref="M264:M322">I264/E264*100</f>
        <v>0.10546498707401598</v>
      </c>
    </row>
    <row r="265" spans="1:13" ht="12.75">
      <c r="A265" s="123" t="s">
        <v>39</v>
      </c>
      <c r="B265" s="120" t="s">
        <v>23</v>
      </c>
      <c r="C265" s="127" t="s">
        <v>406</v>
      </c>
      <c r="D265" s="130">
        <v>43509</v>
      </c>
      <c r="E265" s="137">
        <v>26165077.15999999</v>
      </c>
      <c r="F265" s="134">
        <v>29078970.150000006</v>
      </c>
      <c r="G265" s="141">
        <f t="shared" si="20"/>
        <v>-2913892.990000017</v>
      </c>
      <c r="H265" s="145">
        <v>8380000</v>
      </c>
      <c r="I265" s="146">
        <v>0</v>
      </c>
      <c r="J265" s="34">
        <f t="shared" si="21"/>
        <v>192.60382909283138</v>
      </c>
      <c r="K265" s="47">
        <f t="shared" si="22"/>
        <v>0</v>
      </c>
      <c r="L265" s="45">
        <f t="shared" si="23"/>
        <v>32.0274232281301</v>
      </c>
      <c r="M265" s="46">
        <f t="shared" si="24"/>
        <v>0</v>
      </c>
    </row>
    <row r="266" spans="1:13" ht="12.75">
      <c r="A266" s="123" t="s">
        <v>39</v>
      </c>
      <c r="B266" s="120" t="s">
        <v>153</v>
      </c>
      <c r="C266" s="127" t="s">
        <v>407</v>
      </c>
      <c r="D266" s="130">
        <v>34367</v>
      </c>
      <c r="E266" s="137">
        <v>38515411.650000006</v>
      </c>
      <c r="F266" s="134">
        <v>38446219.470000006</v>
      </c>
      <c r="G266" s="141">
        <f t="shared" si="20"/>
        <v>69192.1799999997</v>
      </c>
      <c r="H266" s="145">
        <v>11380261.58</v>
      </c>
      <c r="I266" s="146">
        <v>0</v>
      </c>
      <c r="J266" s="34">
        <f t="shared" si="21"/>
        <v>331.13922018215146</v>
      </c>
      <c r="K266" s="47">
        <f t="shared" si="22"/>
        <v>0</v>
      </c>
      <c r="L266" s="45">
        <f t="shared" si="23"/>
        <v>29.547293128827295</v>
      </c>
      <c r="M266" s="46">
        <f t="shared" si="24"/>
        <v>0</v>
      </c>
    </row>
    <row r="267" spans="1:13" ht="12.75">
      <c r="A267" s="123" t="s">
        <v>39</v>
      </c>
      <c r="B267" s="120" t="s">
        <v>25</v>
      </c>
      <c r="C267" s="127" t="s">
        <v>408</v>
      </c>
      <c r="D267" s="130">
        <v>113848</v>
      </c>
      <c r="E267" s="137">
        <v>67640924.43</v>
      </c>
      <c r="F267" s="134">
        <v>70745610.29</v>
      </c>
      <c r="G267" s="141">
        <f t="shared" si="20"/>
        <v>-3104685.8599999994</v>
      </c>
      <c r="H267" s="145">
        <v>30256668</v>
      </c>
      <c r="I267" s="146">
        <v>0</v>
      </c>
      <c r="J267" s="34">
        <f t="shared" si="21"/>
        <v>265.763720047783</v>
      </c>
      <c r="K267" s="47">
        <f t="shared" si="22"/>
        <v>0</v>
      </c>
      <c r="L267" s="45">
        <f t="shared" si="23"/>
        <v>44.73130468716747</v>
      </c>
      <c r="M267" s="46">
        <f t="shared" si="24"/>
        <v>0</v>
      </c>
    </row>
    <row r="268" spans="1:13" ht="12.75">
      <c r="A268" s="123" t="s">
        <v>39</v>
      </c>
      <c r="B268" s="120" t="s">
        <v>156</v>
      </c>
      <c r="C268" s="127" t="s">
        <v>409</v>
      </c>
      <c r="D268" s="130">
        <v>105154</v>
      </c>
      <c r="E268" s="137">
        <v>80896573.52999993</v>
      </c>
      <c r="F268" s="134">
        <v>80230604.20999996</v>
      </c>
      <c r="G268" s="141">
        <f t="shared" si="20"/>
        <v>665969.319999963</v>
      </c>
      <c r="H268" s="145">
        <v>23958359.25</v>
      </c>
      <c r="I268" s="146">
        <v>22299.25</v>
      </c>
      <c r="J268" s="34">
        <f t="shared" si="21"/>
        <v>227.84068366395954</v>
      </c>
      <c r="K268" s="47">
        <f t="shared" si="22"/>
        <v>0.2120627841071191</v>
      </c>
      <c r="L268" s="45">
        <f t="shared" si="23"/>
        <v>29.616037125620913</v>
      </c>
      <c r="M268" s="46">
        <f t="shared" si="24"/>
        <v>0.027565135365999745</v>
      </c>
    </row>
    <row r="269" spans="1:13" ht="12.75">
      <c r="A269" s="123" t="s">
        <v>39</v>
      </c>
      <c r="B269" s="120" t="s">
        <v>27</v>
      </c>
      <c r="C269" s="127" t="s">
        <v>410</v>
      </c>
      <c r="D269" s="130">
        <v>57563</v>
      </c>
      <c r="E269" s="137">
        <v>42208807.919999994</v>
      </c>
      <c r="F269" s="134">
        <v>40783718.96999999</v>
      </c>
      <c r="G269" s="141">
        <f t="shared" si="20"/>
        <v>1425088.950000003</v>
      </c>
      <c r="H269" s="145">
        <v>4271026.51</v>
      </c>
      <c r="I269" s="146">
        <v>0</v>
      </c>
      <c r="J269" s="34">
        <f t="shared" si="21"/>
        <v>74.19742734047912</v>
      </c>
      <c r="K269" s="47">
        <f t="shared" si="22"/>
        <v>0</v>
      </c>
      <c r="L269" s="45">
        <f t="shared" si="23"/>
        <v>10.118803919066002</v>
      </c>
      <c r="M269" s="46">
        <f t="shared" si="24"/>
        <v>0</v>
      </c>
    </row>
    <row r="270" spans="1:13" ht="12.75">
      <c r="A270" s="123" t="s">
        <v>39</v>
      </c>
      <c r="B270" s="120" t="s">
        <v>159</v>
      </c>
      <c r="C270" s="127" t="s">
        <v>411</v>
      </c>
      <c r="D270" s="130">
        <v>69327</v>
      </c>
      <c r="E270" s="137">
        <v>61848110.98999999</v>
      </c>
      <c r="F270" s="134">
        <v>59032951.889999986</v>
      </c>
      <c r="G270" s="141">
        <f t="shared" si="20"/>
        <v>2815159.1000000015</v>
      </c>
      <c r="H270" s="145">
        <v>4033594.56</v>
      </c>
      <c r="I270" s="146">
        <v>6761.72</v>
      </c>
      <c r="J270" s="34">
        <f t="shared" si="21"/>
        <v>58.182159331862046</v>
      </c>
      <c r="K270" s="47">
        <f t="shared" si="22"/>
        <v>0.09753371702222799</v>
      </c>
      <c r="L270" s="45">
        <f t="shared" si="23"/>
        <v>6.521774869813209</v>
      </c>
      <c r="M270" s="46">
        <f t="shared" si="24"/>
        <v>0.010932783381360313</v>
      </c>
    </row>
    <row r="271" spans="1:13" ht="12.75">
      <c r="A271" s="123" t="s">
        <v>39</v>
      </c>
      <c r="B271" s="120" t="s">
        <v>29</v>
      </c>
      <c r="C271" s="127" t="s">
        <v>412</v>
      </c>
      <c r="D271" s="130">
        <v>26649</v>
      </c>
      <c r="E271" s="137">
        <v>20447569.969999995</v>
      </c>
      <c r="F271" s="134">
        <v>19728540.140000008</v>
      </c>
      <c r="G271" s="141">
        <f t="shared" si="20"/>
        <v>719029.829999987</v>
      </c>
      <c r="H271" s="145">
        <v>1957497</v>
      </c>
      <c r="I271" s="146">
        <v>0</v>
      </c>
      <c r="J271" s="34">
        <f t="shared" si="21"/>
        <v>73.45480130586513</v>
      </c>
      <c r="K271" s="47">
        <f t="shared" si="22"/>
        <v>0</v>
      </c>
      <c r="L271" s="45">
        <f t="shared" si="23"/>
        <v>9.573250038376079</v>
      </c>
      <c r="M271" s="46">
        <f t="shared" si="24"/>
        <v>0</v>
      </c>
    </row>
    <row r="272" spans="1:13" ht="12.75">
      <c r="A272" s="123" t="s">
        <v>39</v>
      </c>
      <c r="B272" s="120" t="s">
        <v>162</v>
      </c>
      <c r="C272" s="127" t="s">
        <v>413</v>
      </c>
      <c r="D272" s="130">
        <v>23471</v>
      </c>
      <c r="E272" s="137">
        <v>29956438.46000001</v>
      </c>
      <c r="F272" s="134">
        <v>30235830.020000003</v>
      </c>
      <c r="G272" s="141">
        <f t="shared" si="20"/>
        <v>-279391.55999999493</v>
      </c>
      <c r="H272" s="145">
        <v>11111204.06</v>
      </c>
      <c r="I272" s="146">
        <v>0</v>
      </c>
      <c r="J272" s="34">
        <f t="shared" si="21"/>
        <v>473.40139150440973</v>
      </c>
      <c r="K272" s="47">
        <f t="shared" si="22"/>
        <v>0</v>
      </c>
      <c r="L272" s="45">
        <f t="shared" si="23"/>
        <v>37.091205200633176</v>
      </c>
      <c r="M272" s="46">
        <f t="shared" si="24"/>
        <v>0</v>
      </c>
    </row>
    <row r="273" spans="1:13" ht="12.75">
      <c r="A273" s="123" t="s">
        <v>41</v>
      </c>
      <c r="B273" s="120" t="s">
        <v>135</v>
      </c>
      <c r="C273" s="127" t="s">
        <v>414</v>
      </c>
      <c r="D273" s="130">
        <v>46991</v>
      </c>
      <c r="E273" s="137">
        <v>33308676.690000005</v>
      </c>
      <c r="F273" s="134">
        <v>36912430.54000003</v>
      </c>
      <c r="G273" s="141">
        <f t="shared" si="20"/>
        <v>-3603753.850000024</v>
      </c>
      <c r="H273" s="145">
        <v>7948867</v>
      </c>
      <c r="I273" s="146">
        <v>0</v>
      </c>
      <c r="J273" s="34">
        <f t="shared" si="21"/>
        <v>169.1572215956247</v>
      </c>
      <c r="K273" s="47">
        <f t="shared" si="22"/>
        <v>0</v>
      </c>
      <c r="L273" s="45">
        <f t="shared" si="23"/>
        <v>23.86425337151393</v>
      </c>
      <c r="M273" s="46">
        <f t="shared" si="24"/>
        <v>0</v>
      </c>
    </row>
    <row r="274" spans="1:13" ht="25.5">
      <c r="A274" s="123" t="s">
        <v>41</v>
      </c>
      <c r="B274" s="120" t="s">
        <v>13</v>
      </c>
      <c r="C274" s="127" t="s">
        <v>415</v>
      </c>
      <c r="D274" s="130">
        <v>86137</v>
      </c>
      <c r="E274" s="137">
        <v>69194225.47000001</v>
      </c>
      <c r="F274" s="134">
        <v>72681197.00000001</v>
      </c>
      <c r="G274" s="141">
        <f t="shared" si="20"/>
        <v>-3486971.530000001</v>
      </c>
      <c r="H274" s="145">
        <v>12804167</v>
      </c>
      <c r="I274" s="146">
        <v>0</v>
      </c>
      <c r="J274" s="34">
        <f t="shared" si="21"/>
        <v>148.64886169706398</v>
      </c>
      <c r="K274" s="47">
        <f t="shared" si="22"/>
        <v>0</v>
      </c>
      <c r="L274" s="45">
        <f t="shared" si="23"/>
        <v>18.50467566191835</v>
      </c>
      <c r="M274" s="46">
        <f t="shared" si="24"/>
        <v>0</v>
      </c>
    </row>
    <row r="275" spans="1:13" ht="12.75">
      <c r="A275" s="123" t="s">
        <v>41</v>
      </c>
      <c r="B275" s="120" t="s">
        <v>138</v>
      </c>
      <c r="C275" s="127" t="s">
        <v>416</v>
      </c>
      <c r="D275" s="130">
        <v>140352</v>
      </c>
      <c r="E275" s="137">
        <v>96118579.71000001</v>
      </c>
      <c r="F275" s="134">
        <v>93808758.3299999</v>
      </c>
      <c r="G275" s="141">
        <f t="shared" si="20"/>
        <v>2309821.3800001144</v>
      </c>
      <c r="H275" s="145">
        <v>6366415</v>
      </c>
      <c r="I275" s="146">
        <v>0</v>
      </c>
      <c r="J275" s="34">
        <f t="shared" si="21"/>
        <v>45.36034399224806</v>
      </c>
      <c r="K275" s="47">
        <f t="shared" si="22"/>
        <v>0</v>
      </c>
      <c r="L275" s="45">
        <f t="shared" si="23"/>
        <v>6.6235009081575615</v>
      </c>
      <c r="M275" s="46">
        <f t="shared" si="24"/>
        <v>0</v>
      </c>
    </row>
    <row r="276" spans="1:13" ht="12.75">
      <c r="A276" s="123" t="s">
        <v>41</v>
      </c>
      <c r="B276" s="120" t="s">
        <v>15</v>
      </c>
      <c r="C276" s="127" t="s">
        <v>417</v>
      </c>
      <c r="D276" s="130">
        <v>75830</v>
      </c>
      <c r="E276" s="137">
        <v>52761425.120000005</v>
      </c>
      <c r="F276" s="134">
        <v>55417725.400000036</v>
      </c>
      <c r="G276" s="141">
        <f t="shared" si="20"/>
        <v>-2656300.280000031</v>
      </c>
      <c r="H276" s="145">
        <v>13982834.79</v>
      </c>
      <c r="I276" s="146">
        <v>0</v>
      </c>
      <c r="J276" s="34">
        <f t="shared" si="21"/>
        <v>184.3971355663985</v>
      </c>
      <c r="K276" s="47">
        <f t="shared" si="22"/>
        <v>0</v>
      </c>
      <c r="L276" s="45">
        <f t="shared" si="23"/>
        <v>26.502003610019237</v>
      </c>
      <c r="M276" s="46">
        <f t="shared" si="24"/>
        <v>0</v>
      </c>
    </row>
    <row r="277" spans="1:13" ht="12.75">
      <c r="A277" s="123" t="s">
        <v>41</v>
      </c>
      <c r="B277" s="120" t="s">
        <v>141</v>
      </c>
      <c r="C277" s="127" t="s">
        <v>267</v>
      </c>
      <c r="D277" s="130">
        <v>49431</v>
      </c>
      <c r="E277" s="137">
        <v>23968375.10999999</v>
      </c>
      <c r="F277" s="134">
        <v>23008466.519999962</v>
      </c>
      <c r="G277" s="141">
        <f t="shared" si="20"/>
        <v>959908.5900000259</v>
      </c>
      <c r="H277" s="145">
        <v>2266670.56</v>
      </c>
      <c r="I277" s="146">
        <v>0</v>
      </c>
      <c r="J277" s="34">
        <f t="shared" si="21"/>
        <v>45.85524387530093</v>
      </c>
      <c r="K277" s="47">
        <f t="shared" si="22"/>
        <v>0</v>
      </c>
      <c r="L277" s="45">
        <f t="shared" si="23"/>
        <v>9.45692208836597</v>
      </c>
      <c r="M277" s="46">
        <f t="shared" si="24"/>
        <v>0</v>
      </c>
    </row>
    <row r="278" spans="1:13" ht="12.75">
      <c r="A278" s="123" t="s">
        <v>41</v>
      </c>
      <c r="B278" s="120" t="s">
        <v>17</v>
      </c>
      <c r="C278" s="127" t="s">
        <v>418</v>
      </c>
      <c r="D278" s="130">
        <v>70400</v>
      </c>
      <c r="E278" s="137">
        <v>47662569.44000001</v>
      </c>
      <c r="F278" s="134">
        <v>43268895.289999984</v>
      </c>
      <c r="G278" s="141">
        <f t="shared" si="20"/>
        <v>4393674.150000028</v>
      </c>
      <c r="H278" s="145">
        <v>8080787.2</v>
      </c>
      <c r="I278" s="146">
        <v>0</v>
      </c>
      <c r="J278" s="34">
        <f t="shared" si="21"/>
        <v>114.78390909090909</v>
      </c>
      <c r="K278" s="47">
        <f t="shared" si="22"/>
        <v>0</v>
      </c>
      <c r="L278" s="45">
        <f t="shared" si="23"/>
        <v>16.954157727842375</v>
      </c>
      <c r="M278" s="46">
        <f t="shared" si="24"/>
        <v>0</v>
      </c>
    </row>
    <row r="279" spans="1:13" ht="12.75">
      <c r="A279" s="123" t="s">
        <v>41</v>
      </c>
      <c r="B279" s="120" t="s">
        <v>144</v>
      </c>
      <c r="C279" s="127" t="s">
        <v>419</v>
      </c>
      <c r="D279" s="130">
        <v>80478</v>
      </c>
      <c r="E279" s="137">
        <v>26718595.279999997</v>
      </c>
      <c r="F279" s="134">
        <v>24458934.179999996</v>
      </c>
      <c r="G279" s="141">
        <f t="shared" si="20"/>
        <v>2259661.1000000015</v>
      </c>
      <c r="H279" s="145">
        <v>2676834.27</v>
      </c>
      <c r="I279" s="146">
        <v>916.27</v>
      </c>
      <c r="J279" s="34">
        <f t="shared" si="21"/>
        <v>33.26168977857303</v>
      </c>
      <c r="K279" s="47">
        <f t="shared" si="22"/>
        <v>0.01138534754839832</v>
      </c>
      <c r="L279" s="45">
        <f t="shared" si="23"/>
        <v>10.018619025243906</v>
      </c>
      <c r="M279" s="46">
        <f t="shared" si="24"/>
        <v>0.0034293344780961105</v>
      </c>
    </row>
    <row r="280" spans="1:13" ht="12.75">
      <c r="A280" s="123" t="s">
        <v>41</v>
      </c>
      <c r="B280" s="120" t="s">
        <v>19</v>
      </c>
      <c r="C280" s="127" t="s">
        <v>420</v>
      </c>
      <c r="D280" s="130">
        <v>55417</v>
      </c>
      <c r="E280" s="137">
        <v>31363375.950000003</v>
      </c>
      <c r="F280" s="134">
        <v>33831146.969999984</v>
      </c>
      <c r="G280" s="141">
        <f t="shared" si="20"/>
        <v>-2467771.019999981</v>
      </c>
      <c r="H280" s="145">
        <v>7929285.9</v>
      </c>
      <c r="I280" s="146">
        <v>26416.88</v>
      </c>
      <c r="J280" s="34">
        <f t="shared" si="21"/>
        <v>143.08399769023947</v>
      </c>
      <c r="K280" s="47">
        <f t="shared" si="22"/>
        <v>0.47669271162278726</v>
      </c>
      <c r="L280" s="45">
        <f t="shared" si="23"/>
        <v>25.281991047905667</v>
      </c>
      <c r="M280" s="46">
        <f t="shared" si="24"/>
        <v>0.08422843268567203</v>
      </c>
    </row>
    <row r="281" spans="1:13" ht="12.75">
      <c r="A281" s="123" t="s">
        <v>41</v>
      </c>
      <c r="B281" s="120" t="s">
        <v>147</v>
      </c>
      <c r="C281" s="127" t="s">
        <v>421</v>
      </c>
      <c r="D281" s="130">
        <v>88521</v>
      </c>
      <c r="E281" s="137">
        <v>57973284.71999999</v>
      </c>
      <c r="F281" s="134">
        <v>58351695.41000002</v>
      </c>
      <c r="G281" s="141">
        <f t="shared" si="20"/>
        <v>-378410.6900000274</v>
      </c>
      <c r="H281" s="145">
        <v>3750679.96</v>
      </c>
      <c r="I281" s="146">
        <v>0</v>
      </c>
      <c r="J281" s="34">
        <f t="shared" si="21"/>
        <v>42.37051050033325</v>
      </c>
      <c r="K281" s="47">
        <f t="shared" si="22"/>
        <v>0</v>
      </c>
      <c r="L281" s="45">
        <f t="shared" si="23"/>
        <v>6.4696695695527255</v>
      </c>
      <c r="M281" s="46">
        <f t="shared" si="24"/>
        <v>0</v>
      </c>
    </row>
    <row r="282" spans="1:13" ht="12.75">
      <c r="A282" s="123" t="s">
        <v>41</v>
      </c>
      <c r="B282" s="120" t="s">
        <v>21</v>
      </c>
      <c r="C282" s="127" t="s">
        <v>422</v>
      </c>
      <c r="D282" s="130">
        <v>124152</v>
      </c>
      <c r="E282" s="137">
        <v>48123147.07999999</v>
      </c>
      <c r="F282" s="134">
        <v>51436362.68000002</v>
      </c>
      <c r="G282" s="141">
        <f t="shared" si="20"/>
        <v>-3313215.6000000313</v>
      </c>
      <c r="H282" s="145">
        <v>10410466.96</v>
      </c>
      <c r="I282" s="146">
        <v>0</v>
      </c>
      <c r="J282" s="34">
        <f t="shared" si="21"/>
        <v>83.85259166183388</v>
      </c>
      <c r="K282" s="47">
        <f t="shared" si="22"/>
        <v>0</v>
      </c>
      <c r="L282" s="45">
        <f t="shared" si="23"/>
        <v>21.63297205540948</v>
      </c>
      <c r="M282" s="46">
        <f t="shared" si="24"/>
        <v>0</v>
      </c>
    </row>
    <row r="283" spans="1:13" ht="12.75">
      <c r="A283" s="123" t="s">
        <v>41</v>
      </c>
      <c r="B283" s="120" t="s">
        <v>150</v>
      </c>
      <c r="C283" s="127" t="s">
        <v>423</v>
      </c>
      <c r="D283" s="130">
        <v>77852</v>
      </c>
      <c r="E283" s="137">
        <v>45690149.80999998</v>
      </c>
      <c r="F283" s="134">
        <v>47705728.97999997</v>
      </c>
      <c r="G283" s="141">
        <f t="shared" si="20"/>
        <v>-2015579.169999987</v>
      </c>
      <c r="H283" s="145">
        <v>5749182</v>
      </c>
      <c r="I283" s="146">
        <v>0</v>
      </c>
      <c r="J283" s="34">
        <f t="shared" si="21"/>
        <v>73.84758259261162</v>
      </c>
      <c r="K283" s="47">
        <f t="shared" si="22"/>
        <v>0</v>
      </c>
      <c r="L283" s="45">
        <f t="shared" si="23"/>
        <v>12.582979097043154</v>
      </c>
      <c r="M283" s="46">
        <f t="shared" si="24"/>
        <v>0</v>
      </c>
    </row>
    <row r="284" spans="1:13" ht="12.75">
      <c r="A284" s="123" t="s">
        <v>41</v>
      </c>
      <c r="B284" s="120" t="s">
        <v>23</v>
      </c>
      <c r="C284" s="127" t="s">
        <v>424</v>
      </c>
      <c r="D284" s="130">
        <v>77166</v>
      </c>
      <c r="E284" s="137">
        <v>59915141.99000001</v>
      </c>
      <c r="F284" s="134">
        <v>55027612.769999996</v>
      </c>
      <c r="G284" s="141">
        <f t="shared" si="20"/>
        <v>4887529.220000014</v>
      </c>
      <c r="H284" s="145">
        <v>4610000</v>
      </c>
      <c r="I284" s="146">
        <v>0</v>
      </c>
      <c r="J284" s="34">
        <f t="shared" si="21"/>
        <v>59.7413368582018</v>
      </c>
      <c r="K284" s="47">
        <f t="shared" si="22"/>
        <v>0</v>
      </c>
      <c r="L284" s="45">
        <f t="shared" si="23"/>
        <v>7.694215263262534</v>
      </c>
      <c r="M284" s="46">
        <f t="shared" si="24"/>
        <v>0</v>
      </c>
    </row>
    <row r="285" spans="1:13" ht="12.75">
      <c r="A285" s="123" t="s">
        <v>41</v>
      </c>
      <c r="B285" s="120" t="s">
        <v>153</v>
      </c>
      <c r="C285" s="127" t="s">
        <v>425</v>
      </c>
      <c r="D285" s="130">
        <v>50232</v>
      </c>
      <c r="E285" s="137">
        <v>22476590.85</v>
      </c>
      <c r="F285" s="134">
        <v>26060411.690000035</v>
      </c>
      <c r="G285" s="141">
        <f t="shared" si="20"/>
        <v>-3583820.8400000334</v>
      </c>
      <c r="H285" s="145">
        <v>7736065.07</v>
      </c>
      <c r="I285" s="146">
        <v>0</v>
      </c>
      <c r="J285" s="34">
        <f t="shared" si="21"/>
        <v>154.0067102643733</v>
      </c>
      <c r="K285" s="47">
        <f t="shared" si="22"/>
        <v>0</v>
      </c>
      <c r="L285" s="45">
        <f t="shared" si="23"/>
        <v>34.41832047229707</v>
      </c>
      <c r="M285" s="46">
        <f t="shared" si="24"/>
        <v>0</v>
      </c>
    </row>
    <row r="286" spans="1:13" ht="12.75">
      <c r="A286" s="123" t="s">
        <v>41</v>
      </c>
      <c r="B286" s="120" t="s">
        <v>25</v>
      </c>
      <c r="C286" s="127" t="s">
        <v>426</v>
      </c>
      <c r="D286" s="130">
        <v>36345</v>
      </c>
      <c r="E286" s="137">
        <v>33562099.53</v>
      </c>
      <c r="F286" s="134">
        <v>35114446.54</v>
      </c>
      <c r="G286" s="141">
        <f t="shared" si="20"/>
        <v>-1552347.009999998</v>
      </c>
      <c r="H286" s="145">
        <v>2275060.69</v>
      </c>
      <c r="I286" s="146">
        <v>0</v>
      </c>
      <c r="J286" s="34">
        <f t="shared" si="21"/>
        <v>62.596249552895856</v>
      </c>
      <c r="K286" s="47">
        <f t="shared" si="22"/>
        <v>0</v>
      </c>
      <c r="L286" s="45">
        <f t="shared" si="23"/>
        <v>6.778660220485914</v>
      </c>
      <c r="M286" s="46">
        <f t="shared" si="24"/>
        <v>0</v>
      </c>
    </row>
    <row r="287" spans="1:13" ht="12.75">
      <c r="A287" s="123" t="s">
        <v>41</v>
      </c>
      <c r="B287" s="120" t="s">
        <v>156</v>
      </c>
      <c r="C287" s="127" t="s">
        <v>427</v>
      </c>
      <c r="D287" s="130">
        <v>71931</v>
      </c>
      <c r="E287" s="137">
        <v>43060397.45</v>
      </c>
      <c r="F287" s="134">
        <v>43300122.54000001</v>
      </c>
      <c r="G287" s="141">
        <f t="shared" si="20"/>
        <v>-239725.09000000358</v>
      </c>
      <c r="H287" s="145">
        <v>1634735.22</v>
      </c>
      <c r="I287" s="146">
        <v>0</v>
      </c>
      <c r="J287" s="34">
        <f t="shared" si="21"/>
        <v>22.726435333861616</v>
      </c>
      <c r="K287" s="47">
        <f t="shared" si="22"/>
        <v>0</v>
      </c>
      <c r="L287" s="45">
        <f t="shared" si="23"/>
        <v>3.7963774530836334</v>
      </c>
      <c r="M287" s="46">
        <f t="shared" si="24"/>
        <v>0</v>
      </c>
    </row>
    <row r="288" spans="1:13" ht="12.75">
      <c r="A288" s="123" t="s">
        <v>41</v>
      </c>
      <c r="B288" s="120" t="s">
        <v>27</v>
      </c>
      <c r="C288" s="127" t="s">
        <v>428</v>
      </c>
      <c r="D288" s="130">
        <v>56058</v>
      </c>
      <c r="E288" s="137">
        <v>31859010.939999994</v>
      </c>
      <c r="F288" s="134">
        <v>31350119.89999999</v>
      </c>
      <c r="G288" s="141">
        <f t="shared" si="20"/>
        <v>508891.04000000283</v>
      </c>
      <c r="H288" s="145">
        <v>10004523.94</v>
      </c>
      <c r="I288" s="146">
        <v>238.82</v>
      </c>
      <c r="J288" s="34">
        <f t="shared" si="21"/>
        <v>178.4673720075636</v>
      </c>
      <c r="K288" s="47">
        <f t="shared" si="22"/>
        <v>0.004260230475578865</v>
      </c>
      <c r="L288" s="45">
        <f t="shared" si="23"/>
        <v>31.402493815145416</v>
      </c>
      <c r="M288" s="46">
        <f t="shared" si="24"/>
        <v>0.0007496152358582919</v>
      </c>
    </row>
    <row r="289" spans="1:13" ht="12.75">
      <c r="A289" s="123" t="s">
        <v>41</v>
      </c>
      <c r="B289" s="120" t="s">
        <v>159</v>
      </c>
      <c r="C289" s="127" t="s">
        <v>278</v>
      </c>
      <c r="D289" s="130">
        <v>158394</v>
      </c>
      <c r="E289" s="137">
        <v>100453040.82000004</v>
      </c>
      <c r="F289" s="134">
        <v>97435190.94999991</v>
      </c>
      <c r="G289" s="141">
        <f t="shared" si="20"/>
        <v>3017849.870000124</v>
      </c>
      <c r="H289" s="145">
        <v>11080000</v>
      </c>
      <c r="I289" s="146">
        <v>0</v>
      </c>
      <c r="J289" s="34">
        <f t="shared" si="21"/>
        <v>69.95214465194388</v>
      </c>
      <c r="K289" s="47">
        <f t="shared" si="22"/>
        <v>0</v>
      </c>
      <c r="L289" s="45">
        <f t="shared" si="23"/>
        <v>11.030029464069733</v>
      </c>
      <c r="M289" s="46">
        <f t="shared" si="24"/>
        <v>0</v>
      </c>
    </row>
    <row r="290" spans="1:13" ht="12.75">
      <c r="A290" s="123" t="s">
        <v>41</v>
      </c>
      <c r="B290" s="120" t="s">
        <v>29</v>
      </c>
      <c r="C290" s="127" t="s">
        <v>429</v>
      </c>
      <c r="D290" s="130">
        <v>54550</v>
      </c>
      <c r="E290" s="137">
        <v>40727065.64</v>
      </c>
      <c r="F290" s="134">
        <v>41008203.30000007</v>
      </c>
      <c r="G290" s="141">
        <f t="shared" si="20"/>
        <v>-281137.66000007093</v>
      </c>
      <c r="H290" s="145">
        <v>2062105</v>
      </c>
      <c r="I290" s="146">
        <v>0</v>
      </c>
      <c r="J290" s="34">
        <f t="shared" si="21"/>
        <v>37.80210815765353</v>
      </c>
      <c r="K290" s="47">
        <f t="shared" si="22"/>
        <v>0</v>
      </c>
      <c r="L290" s="45">
        <f t="shared" si="23"/>
        <v>5.063229986239686</v>
      </c>
      <c r="M290" s="46">
        <f t="shared" si="24"/>
        <v>0</v>
      </c>
    </row>
    <row r="291" spans="1:13" ht="12.75">
      <c r="A291" s="123" t="s">
        <v>41</v>
      </c>
      <c r="B291" s="120" t="s">
        <v>162</v>
      </c>
      <c r="C291" s="127" t="s">
        <v>430</v>
      </c>
      <c r="D291" s="130">
        <v>136959</v>
      </c>
      <c r="E291" s="137">
        <v>102368048.84000002</v>
      </c>
      <c r="F291" s="134">
        <v>109566974.4499999</v>
      </c>
      <c r="G291" s="141">
        <f t="shared" si="20"/>
        <v>-7198925.60999988</v>
      </c>
      <c r="H291" s="145">
        <v>5894873.71</v>
      </c>
      <c r="I291" s="146">
        <v>0</v>
      </c>
      <c r="J291" s="34">
        <f t="shared" si="21"/>
        <v>43.04115618542775</v>
      </c>
      <c r="K291" s="47">
        <f t="shared" si="22"/>
        <v>0</v>
      </c>
      <c r="L291" s="45">
        <f t="shared" si="23"/>
        <v>5.758509395068781</v>
      </c>
      <c r="M291" s="46">
        <f t="shared" si="24"/>
        <v>0</v>
      </c>
    </row>
    <row r="292" spans="1:13" ht="12.75">
      <c r="A292" s="123" t="s">
        <v>41</v>
      </c>
      <c r="B292" s="120" t="s">
        <v>31</v>
      </c>
      <c r="C292" s="127" t="s">
        <v>431</v>
      </c>
      <c r="D292" s="130">
        <v>62084</v>
      </c>
      <c r="E292" s="137">
        <v>48068021.01999999</v>
      </c>
      <c r="F292" s="134">
        <v>47930234.84000004</v>
      </c>
      <c r="G292" s="141">
        <f t="shared" si="20"/>
        <v>137786.17999994755</v>
      </c>
      <c r="H292" s="145">
        <v>19057866.31</v>
      </c>
      <c r="I292" s="146">
        <v>0</v>
      </c>
      <c r="J292" s="34">
        <f t="shared" si="21"/>
        <v>306.9690469364087</v>
      </c>
      <c r="K292" s="47">
        <f t="shared" si="22"/>
        <v>0</v>
      </c>
      <c r="L292" s="45">
        <f t="shared" si="23"/>
        <v>39.64770320390445</v>
      </c>
      <c r="M292" s="46">
        <f t="shared" si="24"/>
        <v>0</v>
      </c>
    </row>
    <row r="293" spans="1:13" ht="12.75">
      <c r="A293" s="123" t="s">
        <v>41</v>
      </c>
      <c r="B293" s="120" t="s">
        <v>165</v>
      </c>
      <c r="C293" s="127" t="s">
        <v>432</v>
      </c>
      <c r="D293" s="130">
        <v>295039</v>
      </c>
      <c r="E293" s="137">
        <v>141817063.95000005</v>
      </c>
      <c r="F293" s="134">
        <v>132885301.26999998</v>
      </c>
      <c r="G293" s="141">
        <f t="shared" si="20"/>
        <v>8931762.680000067</v>
      </c>
      <c r="H293" s="145">
        <v>21852525.8</v>
      </c>
      <c r="I293" s="146">
        <v>3158445.86</v>
      </c>
      <c r="J293" s="34">
        <f t="shared" si="21"/>
        <v>74.06656679286468</v>
      </c>
      <c r="K293" s="47">
        <f t="shared" si="22"/>
        <v>10.705180874392877</v>
      </c>
      <c r="L293" s="45">
        <f t="shared" si="23"/>
        <v>15.40895375446813</v>
      </c>
      <c r="M293" s="46">
        <f t="shared" si="24"/>
        <v>2.2271268153693846</v>
      </c>
    </row>
    <row r="294" spans="1:13" ht="12.75">
      <c r="A294" s="123" t="s">
        <v>41</v>
      </c>
      <c r="B294" s="120" t="s">
        <v>33</v>
      </c>
      <c r="C294" s="127" t="s">
        <v>433</v>
      </c>
      <c r="D294" s="130">
        <v>59405</v>
      </c>
      <c r="E294" s="137">
        <v>38369051.309999995</v>
      </c>
      <c r="F294" s="134">
        <v>37636413.98999997</v>
      </c>
      <c r="G294" s="141">
        <f t="shared" si="20"/>
        <v>732637.3200000226</v>
      </c>
      <c r="H294" s="145">
        <v>1400000</v>
      </c>
      <c r="I294" s="146">
        <v>0</v>
      </c>
      <c r="J294" s="34">
        <f t="shared" si="21"/>
        <v>23.567039811463683</v>
      </c>
      <c r="K294" s="47">
        <f t="shared" si="22"/>
        <v>0</v>
      </c>
      <c r="L294" s="45">
        <f t="shared" si="23"/>
        <v>3.648774082759567</v>
      </c>
      <c r="M294" s="46">
        <f t="shared" si="24"/>
        <v>0</v>
      </c>
    </row>
    <row r="295" spans="1:13" ht="12.75">
      <c r="A295" s="123" t="s">
        <v>41</v>
      </c>
      <c r="B295" s="120" t="s">
        <v>168</v>
      </c>
      <c r="C295" s="127" t="s">
        <v>434</v>
      </c>
      <c r="D295" s="130">
        <v>58788</v>
      </c>
      <c r="E295" s="137">
        <v>45825222.03000001</v>
      </c>
      <c r="F295" s="134">
        <v>47498962.96000001</v>
      </c>
      <c r="G295" s="141">
        <f t="shared" si="20"/>
        <v>-1673740.9299999997</v>
      </c>
      <c r="H295" s="145">
        <v>10499236</v>
      </c>
      <c r="I295" s="146">
        <v>266036</v>
      </c>
      <c r="J295" s="34">
        <f t="shared" si="21"/>
        <v>178.59488330951896</v>
      </c>
      <c r="K295" s="47">
        <f t="shared" si="22"/>
        <v>4.525345308566374</v>
      </c>
      <c r="L295" s="45">
        <f t="shared" si="23"/>
        <v>22.91147873353795</v>
      </c>
      <c r="M295" s="46">
        <f t="shared" si="24"/>
        <v>0.5805449231120724</v>
      </c>
    </row>
    <row r="296" spans="1:13" ht="12.75">
      <c r="A296" s="123" t="s">
        <v>41</v>
      </c>
      <c r="B296" s="120" t="s">
        <v>35</v>
      </c>
      <c r="C296" s="127" t="s">
        <v>435</v>
      </c>
      <c r="D296" s="130">
        <v>86100</v>
      </c>
      <c r="E296" s="137">
        <v>54268727.97</v>
      </c>
      <c r="F296" s="134">
        <v>54948841.98000003</v>
      </c>
      <c r="G296" s="141">
        <f t="shared" si="20"/>
        <v>-680114.0100000277</v>
      </c>
      <c r="H296" s="145">
        <v>0</v>
      </c>
      <c r="I296" s="146">
        <v>0</v>
      </c>
      <c r="J296" s="34">
        <f t="shared" si="21"/>
        <v>0</v>
      </c>
      <c r="K296" s="47">
        <f t="shared" si="22"/>
        <v>0</v>
      </c>
      <c r="L296" s="45">
        <f t="shared" si="23"/>
        <v>0</v>
      </c>
      <c r="M296" s="46">
        <f t="shared" si="24"/>
        <v>0</v>
      </c>
    </row>
    <row r="297" spans="1:13" ht="12.75">
      <c r="A297" s="123" t="s">
        <v>41</v>
      </c>
      <c r="B297" s="120" t="s">
        <v>171</v>
      </c>
      <c r="C297" s="127" t="s">
        <v>161</v>
      </c>
      <c r="D297" s="130">
        <v>54696</v>
      </c>
      <c r="E297" s="137">
        <v>31871723.529999983</v>
      </c>
      <c r="F297" s="134">
        <v>32189787.599999987</v>
      </c>
      <c r="G297" s="141">
        <f t="shared" si="20"/>
        <v>-318064.070000004</v>
      </c>
      <c r="H297" s="145">
        <v>6968925.44</v>
      </c>
      <c r="I297" s="146">
        <v>0</v>
      </c>
      <c r="J297" s="34">
        <f t="shared" si="21"/>
        <v>127.41197601287115</v>
      </c>
      <c r="K297" s="47">
        <f t="shared" si="22"/>
        <v>0</v>
      </c>
      <c r="L297" s="45">
        <f t="shared" si="23"/>
        <v>21.865543083794453</v>
      </c>
      <c r="M297" s="46">
        <f t="shared" si="24"/>
        <v>0</v>
      </c>
    </row>
    <row r="298" spans="1:13" ht="12.75">
      <c r="A298" s="123" t="s">
        <v>41</v>
      </c>
      <c r="B298" s="120" t="s">
        <v>37</v>
      </c>
      <c r="C298" s="127" t="s">
        <v>436</v>
      </c>
      <c r="D298" s="130">
        <v>58663</v>
      </c>
      <c r="E298" s="137">
        <v>37751991.03000001</v>
      </c>
      <c r="F298" s="134">
        <v>36491523.16000001</v>
      </c>
      <c r="G298" s="141">
        <f t="shared" si="20"/>
        <v>1260467.8699999973</v>
      </c>
      <c r="H298" s="145">
        <v>4720025</v>
      </c>
      <c r="I298" s="146">
        <v>0</v>
      </c>
      <c r="J298" s="34">
        <f t="shared" si="21"/>
        <v>80.46000034093039</v>
      </c>
      <c r="K298" s="47">
        <f t="shared" si="22"/>
        <v>0</v>
      </c>
      <c r="L298" s="45">
        <f t="shared" si="23"/>
        <v>12.5027180586295</v>
      </c>
      <c r="M298" s="46">
        <f t="shared" si="24"/>
        <v>0</v>
      </c>
    </row>
    <row r="299" spans="1:13" ht="12.75">
      <c r="A299" s="123" t="s">
        <v>41</v>
      </c>
      <c r="B299" s="120" t="s">
        <v>289</v>
      </c>
      <c r="C299" s="127" t="s">
        <v>437</v>
      </c>
      <c r="D299" s="130">
        <v>83625</v>
      </c>
      <c r="E299" s="137">
        <v>52872081.32999999</v>
      </c>
      <c r="F299" s="134">
        <v>52532798.33000002</v>
      </c>
      <c r="G299" s="141">
        <f t="shared" si="20"/>
        <v>339282.9999999702</v>
      </c>
      <c r="H299" s="145">
        <v>9450000</v>
      </c>
      <c r="I299" s="146">
        <v>0</v>
      </c>
      <c r="J299" s="34">
        <f t="shared" si="21"/>
        <v>113.00448430493273</v>
      </c>
      <c r="K299" s="47">
        <f t="shared" si="22"/>
        <v>0</v>
      </c>
      <c r="L299" s="45">
        <f t="shared" si="23"/>
        <v>17.873327023042695</v>
      </c>
      <c r="M299" s="46">
        <f t="shared" si="24"/>
        <v>0</v>
      </c>
    </row>
    <row r="300" spans="1:13" ht="12.75">
      <c r="A300" s="123" t="s">
        <v>41</v>
      </c>
      <c r="B300" s="120" t="s">
        <v>39</v>
      </c>
      <c r="C300" s="127" t="s">
        <v>438</v>
      </c>
      <c r="D300" s="130">
        <v>67752</v>
      </c>
      <c r="E300" s="137">
        <v>49580391.940000005</v>
      </c>
      <c r="F300" s="134">
        <v>51249587.40999999</v>
      </c>
      <c r="G300" s="141">
        <f t="shared" si="20"/>
        <v>-1669195.469999984</v>
      </c>
      <c r="H300" s="145">
        <v>10774038.26</v>
      </c>
      <c r="I300" s="146">
        <v>0</v>
      </c>
      <c r="J300" s="34">
        <f t="shared" si="21"/>
        <v>159.021700614004</v>
      </c>
      <c r="K300" s="47">
        <f t="shared" si="22"/>
        <v>0</v>
      </c>
      <c r="L300" s="45">
        <f t="shared" si="23"/>
        <v>21.730441891299012</v>
      </c>
      <c r="M300" s="46">
        <f t="shared" si="24"/>
        <v>0</v>
      </c>
    </row>
    <row r="301" spans="1:13" ht="12.75">
      <c r="A301" s="123" t="s">
        <v>41</v>
      </c>
      <c r="B301" s="120" t="s">
        <v>292</v>
      </c>
      <c r="C301" s="127" t="s">
        <v>439</v>
      </c>
      <c r="D301" s="130">
        <v>54866</v>
      </c>
      <c r="E301" s="137">
        <v>37932266.510000005</v>
      </c>
      <c r="F301" s="134">
        <v>40638672.44000001</v>
      </c>
      <c r="G301" s="141">
        <f t="shared" si="20"/>
        <v>-2706405.930000007</v>
      </c>
      <c r="H301" s="145">
        <v>6059770.56</v>
      </c>
      <c r="I301" s="146">
        <v>0</v>
      </c>
      <c r="J301" s="34">
        <f t="shared" si="21"/>
        <v>110.44673495425216</v>
      </c>
      <c r="K301" s="47">
        <f t="shared" si="22"/>
        <v>0</v>
      </c>
      <c r="L301" s="45">
        <f t="shared" si="23"/>
        <v>15.975239861827067</v>
      </c>
      <c r="M301" s="46">
        <f t="shared" si="24"/>
        <v>0</v>
      </c>
    </row>
    <row r="302" spans="1:13" ht="12.75">
      <c r="A302" s="123" t="s">
        <v>41</v>
      </c>
      <c r="B302" s="120" t="s">
        <v>41</v>
      </c>
      <c r="C302" s="127" t="s">
        <v>440</v>
      </c>
      <c r="D302" s="130">
        <v>73896</v>
      </c>
      <c r="E302" s="137">
        <v>45894741.279999994</v>
      </c>
      <c r="F302" s="134">
        <v>47603183.71999998</v>
      </c>
      <c r="G302" s="141">
        <f t="shared" si="20"/>
        <v>-1708442.4399999827</v>
      </c>
      <c r="H302" s="145">
        <v>8414216.95</v>
      </c>
      <c r="I302" s="146">
        <v>0</v>
      </c>
      <c r="J302" s="34">
        <f t="shared" si="21"/>
        <v>113.86566187615026</v>
      </c>
      <c r="K302" s="47">
        <f t="shared" si="22"/>
        <v>0</v>
      </c>
      <c r="L302" s="45">
        <f t="shared" si="23"/>
        <v>18.333727820068887</v>
      </c>
      <c r="M302" s="46">
        <f t="shared" si="24"/>
        <v>0</v>
      </c>
    </row>
    <row r="303" spans="1:13" ht="12.75">
      <c r="A303" s="123" t="s">
        <v>41</v>
      </c>
      <c r="B303" s="120" t="s">
        <v>441</v>
      </c>
      <c r="C303" s="127" t="s">
        <v>442</v>
      </c>
      <c r="D303" s="130">
        <v>68538</v>
      </c>
      <c r="E303" s="137">
        <v>40162394.86999998</v>
      </c>
      <c r="F303" s="134">
        <v>40934645.54999995</v>
      </c>
      <c r="G303" s="141">
        <f t="shared" si="20"/>
        <v>-772250.6799999699</v>
      </c>
      <c r="H303" s="145">
        <v>5164315</v>
      </c>
      <c r="I303" s="146">
        <v>0</v>
      </c>
      <c r="J303" s="34">
        <f t="shared" si="21"/>
        <v>75.3496600426041</v>
      </c>
      <c r="K303" s="47">
        <f t="shared" si="22"/>
        <v>0</v>
      </c>
      <c r="L303" s="45">
        <f t="shared" si="23"/>
        <v>12.858583300911613</v>
      </c>
      <c r="M303" s="46">
        <f t="shared" si="24"/>
        <v>0</v>
      </c>
    </row>
    <row r="304" spans="1:13" ht="12.75">
      <c r="A304" s="123" t="s">
        <v>43</v>
      </c>
      <c r="B304" s="120" t="s">
        <v>135</v>
      </c>
      <c r="C304" s="127" t="s">
        <v>443</v>
      </c>
      <c r="D304" s="130">
        <v>48319</v>
      </c>
      <c r="E304" s="137">
        <v>52974269.01000001</v>
      </c>
      <c r="F304" s="134">
        <v>50588831.339999974</v>
      </c>
      <c r="G304" s="141">
        <f t="shared" si="20"/>
        <v>2385437.670000039</v>
      </c>
      <c r="H304" s="145">
        <v>5312460</v>
      </c>
      <c r="I304" s="146">
        <v>0</v>
      </c>
      <c r="J304" s="34">
        <f t="shared" si="21"/>
        <v>109.94557006560566</v>
      </c>
      <c r="K304" s="47">
        <f t="shared" si="22"/>
        <v>0</v>
      </c>
      <c r="L304" s="45">
        <f t="shared" si="23"/>
        <v>10.028378115037626</v>
      </c>
      <c r="M304" s="46">
        <f t="shared" si="24"/>
        <v>0</v>
      </c>
    </row>
    <row r="305" spans="1:13" ht="12.75">
      <c r="A305" s="123" t="s">
        <v>43</v>
      </c>
      <c r="B305" s="120" t="s">
        <v>13</v>
      </c>
      <c r="C305" s="127" t="s">
        <v>444</v>
      </c>
      <c r="D305" s="130">
        <v>50020</v>
      </c>
      <c r="E305" s="137">
        <v>32368477.860000007</v>
      </c>
      <c r="F305" s="134">
        <v>30839530.63000001</v>
      </c>
      <c r="G305" s="141">
        <f t="shared" si="20"/>
        <v>1528947.2299999967</v>
      </c>
      <c r="H305" s="145">
        <v>1651699.94</v>
      </c>
      <c r="I305" s="146">
        <v>0</v>
      </c>
      <c r="J305" s="34">
        <f t="shared" si="21"/>
        <v>33.02079048380648</v>
      </c>
      <c r="K305" s="47">
        <f t="shared" si="22"/>
        <v>0</v>
      </c>
      <c r="L305" s="45">
        <f t="shared" si="23"/>
        <v>5.102803867218981</v>
      </c>
      <c r="M305" s="46">
        <f t="shared" si="24"/>
        <v>0</v>
      </c>
    </row>
    <row r="306" spans="1:13" ht="12.75">
      <c r="A306" s="123" t="s">
        <v>43</v>
      </c>
      <c r="B306" s="120" t="s">
        <v>138</v>
      </c>
      <c r="C306" s="127" t="s">
        <v>445</v>
      </c>
      <c r="D306" s="130">
        <v>58123</v>
      </c>
      <c r="E306" s="137">
        <v>42025044.59</v>
      </c>
      <c r="F306" s="134">
        <v>40666459.66</v>
      </c>
      <c r="G306" s="141">
        <f t="shared" si="20"/>
        <v>1358584.9300000072</v>
      </c>
      <c r="H306" s="145">
        <v>6499896</v>
      </c>
      <c r="I306" s="146">
        <v>0</v>
      </c>
      <c r="J306" s="34">
        <f t="shared" si="21"/>
        <v>111.8300156564527</v>
      </c>
      <c r="K306" s="47">
        <f t="shared" si="22"/>
        <v>0</v>
      </c>
      <c r="L306" s="45">
        <f t="shared" si="23"/>
        <v>15.466720055656221</v>
      </c>
      <c r="M306" s="46">
        <f t="shared" si="24"/>
        <v>0</v>
      </c>
    </row>
    <row r="307" spans="1:13" ht="12.75">
      <c r="A307" s="123" t="s">
        <v>43</v>
      </c>
      <c r="B307" s="120" t="s">
        <v>15</v>
      </c>
      <c r="C307" s="127" t="s">
        <v>446</v>
      </c>
      <c r="D307" s="130">
        <v>78918</v>
      </c>
      <c r="E307" s="137">
        <v>54312354.110000014</v>
      </c>
      <c r="F307" s="134">
        <v>51415485.93</v>
      </c>
      <c r="G307" s="141">
        <f t="shared" si="20"/>
        <v>2896868.1800000146</v>
      </c>
      <c r="H307" s="145">
        <v>10438333.92</v>
      </c>
      <c r="I307" s="146">
        <v>0</v>
      </c>
      <c r="J307" s="34">
        <f t="shared" si="21"/>
        <v>132.2681000532198</v>
      </c>
      <c r="K307" s="47">
        <f t="shared" si="22"/>
        <v>0</v>
      </c>
      <c r="L307" s="45">
        <f t="shared" si="23"/>
        <v>19.219078404996054</v>
      </c>
      <c r="M307" s="46">
        <f t="shared" si="24"/>
        <v>0</v>
      </c>
    </row>
    <row r="308" spans="1:13" ht="12.75">
      <c r="A308" s="123" t="s">
        <v>43</v>
      </c>
      <c r="B308" s="120" t="s">
        <v>141</v>
      </c>
      <c r="C308" s="127" t="s">
        <v>447</v>
      </c>
      <c r="D308" s="130">
        <v>60834</v>
      </c>
      <c r="E308" s="137">
        <v>53314964.220000006</v>
      </c>
      <c r="F308" s="134">
        <v>49244355.25000004</v>
      </c>
      <c r="G308" s="141">
        <f t="shared" si="20"/>
        <v>4070608.969999969</v>
      </c>
      <c r="H308" s="145">
        <v>1200728.32</v>
      </c>
      <c r="I308" s="146">
        <v>728.32</v>
      </c>
      <c r="J308" s="34">
        <f t="shared" si="21"/>
        <v>19.737783476345466</v>
      </c>
      <c r="K308" s="47">
        <f t="shared" si="22"/>
        <v>0.01197225235887826</v>
      </c>
      <c r="L308" s="45">
        <f t="shared" si="23"/>
        <v>2.252141284471821</v>
      </c>
      <c r="M308" s="46">
        <f t="shared" si="24"/>
        <v>0.001366070503198023</v>
      </c>
    </row>
    <row r="309" spans="1:13" ht="12.75">
      <c r="A309" s="123" t="s">
        <v>43</v>
      </c>
      <c r="B309" s="120" t="s">
        <v>17</v>
      </c>
      <c r="C309" s="127" t="s">
        <v>448</v>
      </c>
      <c r="D309" s="130">
        <v>83037</v>
      </c>
      <c r="E309" s="137">
        <v>58092723.57000003</v>
      </c>
      <c r="F309" s="134">
        <v>56054962.269999996</v>
      </c>
      <c r="G309" s="141">
        <f t="shared" si="20"/>
        <v>2037761.3000000343</v>
      </c>
      <c r="H309" s="145">
        <v>18870417.65</v>
      </c>
      <c r="I309" s="146">
        <v>19637.86</v>
      </c>
      <c r="J309" s="34">
        <f t="shared" si="21"/>
        <v>227.25312390861905</v>
      </c>
      <c r="K309" s="47">
        <f t="shared" si="22"/>
        <v>0.23649529727711743</v>
      </c>
      <c r="L309" s="45">
        <f t="shared" si="23"/>
        <v>32.4832724140773</v>
      </c>
      <c r="M309" s="46">
        <f t="shared" si="24"/>
        <v>0.03380433691723363</v>
      </c>
    </row>
    <row r="310" spans="1:13" ht="12.75">
      <c r="A310" s="123" t="s">
        <v>43</v>
      </c>
      <c r="B310" s="120" t="s">
        <v>144</v>
      </c>
      <c r="C310" s="127" t="s">
        <v>449</v>
      </c>
      <c r="D310" s="130">
        <v>47599</v>
      </c>
      <c r="E310" s="137">
        <v>42194312.78999999</v>
      </c>
      <c r="F310" s="134">
        <v>42241111.14999999</v>
      </c>
      <c r="G310" s="141">
        <f t="shared" si="20"/>
        <v>-46798.359999999404</v>
      </c>
      <c r="H310" s="145">
        <v>14744061.46</v>
      </c>
      <c r="I310" s="146">
        <v>7765.46</v>
      </c>
      <c r="J310" s="34">
        <f t="shared" si="21"/>
        <v>309.75569780877754</v>
      </c>
      <c r="K310" s="47">
        <f t="shared" si="22"/>
        <v>0.16314334334754932</v>
      </c>
      <c r="L310" s="45">
        <f t="shared" si="23"/>
        <v>34.94324349677364</v>
      </c>
      <c r="M310" s="46">
        <f t="shared" si="24"/>
        <v>0.01840404425745359</v>
      </c>
    </row>
    <row r="311" spans="1:13" ht="12.75">
      <c r="A311" s="123" t="s">
        <v>43</v>
      </c>
      <c r="B311" s="120" t="s">
        <v>19</v>
      </c>
      <c r="C311" s="127" t="s">
        <v>450</v>
      </c>
      <c r="D311" s="130">
        <v>76217</v>
      </c>
      <c r="E311" s="137">
        <v>56891944.94</v>
      </c>
      <c r="F311" s="134">
        <v>57395121.99999999</v>
      </c>
      <c r="G311" s="141">
        <f t="shared" si="20"/>
        <v>-503177.05999999493</v>
      </c>
      <c r="H311" s="145">
        <v>7920530.35</v>
      </c>
      <c r="I311" s="146">
        <v>4807.35</v>
      </c>
      <c r="J311" s="34">
        <f t="shared" si="21"/>
        <v>103.92078342102155</v>
      </c>
      <c r="K311" s="47">
        <f t="shared" si="22"/>
        <v>0.06307451093588046</v>
      </c>
      <c r="L311" s="45">
        <f t="shared" si="23"/>
        <v>13.922059367724614</v>
      </c>
      <c r="M311" s="46">
        <f t="shared" si="24"/>
        <v>0.008449965992672566</v>
      </c>
    </row>
    <row r="312" spans="1:13" ht="12.75">
      <c r="A312" s="123" t="s">
        <v>43</v>
      </c>
      <c r="B312" s="120" t="s">
        <v>147</v>
      </c>
      <c r="C312" s="127" t="s">
        <v>451</v>
      </c>
      <c r="D312" s="130">
        <v>64205</v>
      </c>
      <c r="E312" s="137">
        <v>53668586.02</v>
      </c>
      <c r="F312" s="134">
        <v>51204720.259999946</v>
      </c>
      <c r="G312" s="141">
        <f t="shared" si="20"/>
        <v>2463865.7600000575</v>
      </c>
      <c r="H312" s="145">
        <v>1877829.99</v>
      </c>
      <c r="I312" s="146">
        <v>0</v>
      </c>
      <c r="J312" s="34">
        <f t="shared" si="21"/>
        <v>29.247410482049684</v>
      </c>
      <c r="K312" s="47">
        <f t="shared" si="22"/>
        <v>0</v>
      </c>
      <c r="L312" s="45">
        <f t="shared" si="23"/>
        <v>3.498936955969387</v>
      </c>
      <c r="M312" s="46">
        <f t="shared" si="24"/>
        <v>0</v>
      </c>
    </row>
    <row r="313" spans="1:13" ht="12.75">
      <c r="A313" s="123" t="s">
        <v>43</v>
      </c>
      <c r="B313" s="120" t="s">
        <v>21</v>
      </c>
      <c r="C313" s="127" t="s">
        <v>452</v>
      </c>
      <c r="D313" s="130">
        <v>67340</v>
      </c>
      <c r="E313" s="137">
        <v>53158783.24000001</v>
      </c>
      <c r="F313" s="134">
        <v>51844896.42999999</v>
      </c>
      <c r="G313" s="141">
        <f t="shared" si="20"/>
        <v>1313886.8100000173</v>
      </c>
      <c r="H313" s="145">
        <v>14728411.63</v>
      </c>
      <c r="I313" s="146">
        <v>0</v>
      </c>
      <c r="J313" s="34">
        <f t="shared" si="21"/>
        <v>218.71713142263144</v>
      </c>
      <c r="K313" s="47">
        <f t="shared" si="22"/>
        <v>0</v>
      </c>
      <c r="L313" s="45">
        <f t="shared" si="23"/>
        <v>27.706449870202103</v>
      </c>
      <c r="M313" s="46">
        <f t="shared" si="24"/>
        <v>0</v>
      </c>
    </row>
    <row r="314" spans="1:13" ht="12.75">
      <c r="A314" s="123" t="s">
        <v>43</v>
      </c>
      <c r="B314" s="120" t="s">
        <v>150</v>
      </c>
      <c r="C314" s="127" t="s">
        <v>453</v>
      </c>
      <c r="D314" s="130">
        <v>64785</v>
      </c>
      <c r="E314" s="137">
        <v>51076343.82999997</v>
      </c>
      <c r="F314" s="134">
        <v>50117215.70000002</v>
      </c>
      <c r="G314" s="141">
        <f t="shared" si="20"/>
        <v>959128.1299999505</v>
      </c>
      <c r="H314" s="145">
        <v>2080.65</v>
      </c>
      <c r="I314" s="146">
        <v>2080.65</v>
      </c>
      <c r="J314" s="34">
        <f t="shared" si="21"/>
        <v>0.03211623060893726</v>
      </c>
      <c r="K314" s="47">
        <f t="shared" si="22"/>
        <v>0.03211623060893726</v>
      </c>
      <c r="L314" s="45">
        <f t="shared" si="23"/>
        <v>0.004073607944462773</v>
      </c>
      <c r="M314" s="46">
        <f t="shared" si="24"/>
        <v>0.004073607944462773</v>
      </c>
    </row>
    <row r="315" spans="1:13" ht="12.75">
      <c r="A315" s="123" t="s">
        <v>43</v>
      </c>
      <c r="B315" s="120" t="s">
        <v>23</v>
      </c>
      <c r="C315" s="127" t="s">
        <v>454</v>
      </c>
      <c r="D315" s="130">
        <v>39958</v>
      </c>
      <c r="E315" s="137">
        <v>29233648.290000014</v>
      </c>
      <c r="F315" s="134">
        <v>28920562.609999996</v>
      </c>
      <c r="G315" s="141">
        <f t="shared" si="20"/>
        <v>313085.6800000183</v>
      </c>
      <c r="H315" s="145">
        <v>11814999.11</v>
      </c>
      <c r="I315" s="146">
        <v>14551.75</v>
      </c>
      <c r="J315" s="34">
        <f t="shared" si="21"/>
        <v>295.6854474698433</v>
      </c>
      <c r="K315" s="47">
        <f t="shared" si="22"/>
        <v>0.36417613494168877</v>
      </c>
      <c r="L315" s="45">
        <f t="shared" si="23"/>
        <v>40.415753082866395</v>
      </c>
      <c r="M315" s="46">
        <f t="shared" si="24"/>
        <v>0.04977739984980847</v>
      </c>
    </row>
    <row r="316" spans="1:13" ht="12.75">
      <c r="A316" s="123" t="s">
        <v>43</v>
      </c>
      <c r="B316" s="120" t="s">
        <v>153</v>
      </c>
      <c r="C316" s="127" t="s">
        <v>455</v>
      </c>
      <c r="D316" s="130">
        <v>57570</v>
      </c>
      <c r="E316" s="137">
        <v>39874542.849999994</v>
      </c>
      <c r="F316" s="134">
        <v>37912786.63000002</v>
      </c>
      <c r="G316" s="141">
        <f t="shared" si="20"/>
        <v>1961756.2199999765</v>
      </c>
      <c r="H316" s="145">
        <v>6431509.42</v>
      </c>
      <c r="I316" s="146">
        <v>133.42</v>
      </c>
      <c r="J316" s="34">
        <f t="shared" si="21"/>
        <v>111.71633524405073</v>
      </c>
      <c r="K316" s="47">
        <f t="shared" si="22"/>
        <v>0.0023175264894910543</v>
      </c>
      <c r="L316" s="45">
        <f t="shared" si="23"/>
        <v>16.129362145151216</v>
      </c>
      <c r="M316" s="46">
        <f t="shared" si="24"/>
        <v>0.0003345994473263284</v>
      </c>
    </row>
    <row r="317" spans="1:13" ht="12.75">
      <c r="A317" s="123" t="s">
        <v>43</v>
      </c>
      <c r="B317" s="120" t="s">
        <v>25</v>
      </c>
      <c r="C317" s="127" t="s">
        <v>456</v>
      </c>
      <c r="D317" s="130">
        <v>119393</v>
      </c>
      <c r="E317" s="137">
        <v>72081141.71000001</v>
      </c>
      <c r="F317" s="134">
        <v>71471948.09000002</v>
      </c>
      <c r="G317" s="141">
        <f t="shared" si="20"/>
        <v>609193.6199999899</v>
      </c>
      <c r="H317" s="145">
        <v>11566300</v>
      </c>
      <c r="I317" s="146">
        <v>0</v>
      </c>
      <c r="J317" s="34">
        <f t="shared" si="21"/>
        <v>96.8758637441056</v>
      </c>
      <c r="K317" s="47">
        <f t="shared" si="22"/>
        <v>0</v>
      </c>
      <c r="L317" s="45">
        <f t="shared" si="23"/>
        <v>16.046221973750143</v>
      </c>
      <c r="M317" s="46">
        <f t="shared" si="24"/>
        <v>0</v>
      </c>
    </row>
    <row r="318" spans="1:13" ht="12.75">
      <c r="A318" s="123" t="s">
        <v>43</v>
      </c>
      <c r="B318" s="120" t="s">
        <v>156</v>
      </c>
      <c r="C318" s="127" t="s">
        <v>457</v>
      </c>
      <c r="D318" s="130">
        <v>77276</v>
      </c>
      <c r="E318" s="137">
        <v>58934907.76</v>
      </c>
      <c r="F318" s="134">
        <v>57094848.04000002</v>
      </c>
      <c r="G318" s="141">
        <f t="shared" si="20"/>
        <v>1840059.7199999765</v>
      </c>
      <c r="H318" s="145">
        <v>11250087.7</v>
      </c>
      <c r="I318" s="146">
        <v>101.38</v>
      </c>
      <c r="J318" s="34">
        <f t="shared" si="21"/>
        <v>145.58320435840363</v>
      </c>
      <c r="K318" s="47">
        <f t="shared" si="22"/>
        <v>0.001311920906879238</v>
      </c>
      <c r="L318" s="45">
        <f t="shared" si="23"/>
        <v>19.089005357934237</v>
      </c>
      <c r="M318" s="46">
        <f t="shared" si="24"/>
        <v>0.0001720202912895846</v>
      </c>
    </row>
    <row r="319" spans="1:13" ht="12.75">
      <c r="A319" s="123" t="s">
        <v>43</v>
      </c>
      <c r="B319" s="120" t="s">
        <v>27</v>
      </c>
      <c r="C319" s="127" t="s">
        <v>458</v>
      </c>
      <c r="D319" s="130">
        <v>48816</v>
      </c>
      <c r="E319" s="137">
        <v>38167594.050000004</v>
      </c>
      <c r="F319" s="134">
        <v>38153665.72999997</v>
      </c>
      <c r="G319" s="141">
        <f t="shared" si="20"/>
        <v>13928.320000037551</v>
      </c>
      <c r="H319" s="145">
        <v>3875982.94</v>
      </c>
      <c r="I319" s="146">
        <v>0</v>
      </c>
      <c r="J319" s="34">
        <f t="shared" si="21"/>
        <v>79.39984718125204</v>
      </c>
      <c r="K319" s="47">
        <f t="shared" si="22"/>
        <v>0</v>
      </c>
      <c r="L319" s="45">
        <f t="shared" si="23"/>
        <v>10.155167063772518</v>
      </c>
      <c r="M319" s="46">
        <f t="shared" si="24"/>
        <v>0</v>
      </c>
    </row>
    <row r="320" spans="1:13" ht="12.75">
      <c r="A320" s="123" t="s">
        <v>43</v>
      </c>
      <c r="B320" s="120" t="s">
        <v>159</v>
      </c>
      <c r="C320" s="127" t="s">
        <v>459</v>
      </c>
      <c r="D320" s="130">
        <v>54615</v>
      </c>
      <c r="E320" s="137">
        <v>30059621.46</v>
      </c>
      <c r="F320" s="134">
        <v>29458927.669999994</v>
      </c>
      <c r="G320" s="141">
        <f t="shared" si="20"/>
        <v>600693.7900000066</v>
      </c>
      <c r="H320" s="145">
        <v>0</v>
      </c>
      <c r="I320" s="146">
        <v>0</v>
      </c>
      <c r="J320" s="34">
        <f t="shared" si="21"/>
        <v>0</v>
      </c>
      <c r="K320" s="47">
        <f t="shared" si="22"/>
        <v>0</v>
      </c>
      <c r="L320" s="45">
        <f t="shared" si="23"/>
        <v>0</v>
      </c>
      <c r="M320" s="46">
        <f t="shared" si="24"/>
        <v>0</v>
      </c>
    </row>
    <row r="321" spans="1:13" ht="13.5" thickBot="1">
      <c r="A321" s="124" t="s">
        <v>43</v>
      </c>
      <c r="B321" s="125" t="s">
        <v>29</v>
      </c>
      <c r="C321" s="128" t="s">
        <v>460</v>
      </c>
      <c r="D321" s="131">
        <v>38233</v>
      </c>
      <c r="E321" s="138">
        <v>27158042.35999999</v>
      </c>
      <c r="F321" s="135">
        <v>27211528.239999995</v>
      </c>
      <c r="G321" s="142">
        <f t="shared" si="20"/>
        <v>-53485.88000000641</v>
      </c>
      <c r="H321" s="147">
        <v>3575420.82</v>
      </c>
      <c r="I321" s="148">
        <v>62609.58</v>
      </c>
      <c r="J321" s="36">
        <f t="shared" si="21"/>
        <v>93.51661705856198</v>
      </c>
      <c r="K321" s="48">
        <f t="shared" si="22"/>
        <v>1.6375795778515942</v>
      </c>
      <c r="L321" s="49">
        <f t="shared" si="23"/>
        <v>13.165237658168236</v>
      </c>
      <c r="M321" s="50">
        <f t="shared" si="24"/>
        <v>0.23053789801953908</v>
      </c>
    </row>
    <row r="322" spans="1:13" ht="13.5" thickBot="1">
      <c r="A322" s="465" t="s">
        <v>45</v>
      </c>
      <c r="B322" s="466"/>
      <c r="C322" s="467"/>
      <c r="D322" s="119">
        <f aca="true" t="shared" si="25" ref="D322:I322">SUM(D8:D321)</f>
        <v>25363915</v>
      </c>
      <c r="E322" s="152">
        <f t="shared" si="25"/>
        <v>16154756388.790012</v>
      </c>
      <c r="F322" s="153">
        <f t="shared" si="25"/>
        <v>16069643129.919992</v>
      </c>
      <c r="G322" s="154">
        <f t="shared" si="25"/>
        <v>85113258.87000053</v>
      </c>
      <c r="H322" s="155">
        <f t="shared" si="25"/>
        <v>2639528819.6100025</v>
      </c>
      <c r="I322" s="152">
        <f t="shared" si="25"/>
        <v>6010052.410000001</v>
      </c>
      <c r="J322" s="151">
        <f t="shared" si="21"/>
        <v>104.06630126342887</v>
      </c>
      <c r="K322" s="51">
        <f t="shared" si="22"/>
        <v>0.2369528682776299</v>
      </c>
      <c r="L322" s="52">
        <f t="shared" si="23"/>
        <v>16.33901964279452</v>
      </c>
      <c r="M322" s="53">
        <f t="shared" si="24"/>
        <v>0.037202990038094616</v>
      </c>
    </row>
    <row r="324" ht="12">
      <c r="A324" s="28" t="s">
        <v>524</v>
      </c>
    </row>
  </sheetData>
  <mergeCells count="16">
    <mergeCell ref="H4:H5"/>
    <mergeCell ref="E6:K6"/>
    <mergeCell ref="A4:A6"/>
    <mergeCell ref="B4:B6"/>
    <mergeCell ref="C4:C6"/>
    <mergeCell ref="D4:D6"/>
    <mergeCell ref="A1:M2"/>
    <mergeCell ref="L6:M6"/>
    <mergeCell ref="A322:C322"/>
    <mergeCell ref="J4:J5"/>
    <mergeCell ref="K4:K5"/>
    <mergeCell ref="L4:L5"/>
    <mergeCell ref="M4:M5"/>
    <mergeCell ref="E4:E5"/>
    <mergeCell ref="F4:F5"/>
    <mergeCell ref="G4:G5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workbookViewId="0" topLeftCell="B1">
      <selection activeCell="B1" sqref="B1:H1"/>
    </sheetView>
  </sheetViews>
  <sheetFormatPr defaultColWidth="9.140625" defaultRowHeight="12.75"/>
  <cols>
    <col min="1" max="1" width="5.7109375" style="311" hidden="1" customWidth="1"/>
    <col min="2" max="2" width="24.7109375" style="311" customWidth="1"/>
    <col min="3" max="5" width="14.00390625" style="311" bestFit="1" customWidth="1"/>
    <col min="6" max="6" width="11.7109375" style="311" bestFit="1" customWidth="1"/>
    <col min="7" max="7" width="12.140625" style="311" bestFit="1" customWidth="1"/>
    <col min="8" max="8" width="12.7109375" style="311" bestFit="1" customWidth="1"/>
    <col min="9" max="9" width="13.00390625" style="311" customWidth="1"/>
    <col min="10" max="10" width="5.8515625" style="311" customWidth="1"/>
    <col min="11" max="12" width="7.421875" style="311" customWidth="1"/>
    <col min="13" max="13" width="8.140625" style="311" hidden="1" customWidth="1"/>
    <col min="14" max="16384" width="9.140625" style="311" customWidth="1"/>
  </cols>
  <sheetData>
    <row r="1" spans="2:13" ht="15.75">
      <c r="B1" s="420" t="s">
        <v>684</v>
      </c>
      <c r="C1" s="420"/>
      <c r="D1" s="420"/>
      <c r="E1" s="420"/>
      <c r="F1" s="420"/>
      <c r="G1" s="420"/>
      <c r="H1" s="420"/>
      <c r="I1" s="353"/>
      <c r="J1" s="353"/>
      <c r="K1" s="353"/>
      <c r="L1" s="353"/>
      <c r="M1" s="353"/>
    </row>
    <row r="3" spans="2:8" ht="66.75" customHeight="1">
      <c r="B3" s="419" t="s">
        <v>525</v>
      </c>
      <c r="C3" s="305" t="s">
        <v>610</v>
      </c>
      <c r="D3" s="305" t="s">
        <v>611</v>
      </c>
      <c r="E3" s="305" t="s">
        <v>612</v>
      </c>
      <c r="F3" s="308" t="s">
        <v>526</v>
      </c>
      <c r="G3" s="305" t="s">
        <v>527</v>
      </c>
      <c r="H3" s="305" t="s">
        <v>528</v>
      </c>
    </row>
    <row r="4" spans="2:8" ht="12.75">
      <c r="B4" s="419"/>
      <c r="C4" s="415"/>
      <c r="D4" s="415"/>
      <c r="E4" s="415"/>
      <c r="F4" s="415" t="s">
        <v>12</v>
      </c>
      <c r="G4" s="415"/>
      <c r="H4" s="415"/>
    </row>
    <row r="5" spans="2:8" ht="12.75">
      <c r="B5" s="308">
        <v>1</v>
      </c>
      <c r="C5" s="310">
        <v>2</v>
      </c>
      <c r="D5" s="310">
        <v>3</v>
      </c>
      <c r="E5" s="310">
        <v>4</v>
      </c>
      <c r="F5" s="310">
        <v>5</v>
      </c>
      <c r="G5" s="310">
        <v>6</v>
      </c>
      <c r="H5" s="310">
        <v>7</v>
      </c>
    </row>
    <row r="6" spans="2:8" ht="25.5" customHeight="1">
      <c r="B6" s="312" t="s">
        <v>529</v>
      </c>
      <c r="C6" s="313">
        <f>16205164925.59</f>
        <v>16205164925.59</v>
      </c>
      <c r="D6" s="313">
        <f>16154756388.79</f>
        <v>16154756388.79</v>
      </c>
      <c r="E6" s="313">
        <f>16048879763.03</f>
        <v>16048879763.03</v>
      </c>
      <c r="F6" s="314">
        <f aca="true" t="shared" si="0" ref="F6:F27">IF($D$6=0,"",100*$D6/$D$6)</f>
        <v>100</v>
      </c>
      <c r="G6" s="314">
        <f aca="true" t="shared" si="1" ref="G6:G27">IF(C6=0,"",100*D6/C6)</f>
        <v>99.68893536701746</v>
      </c>
      <c r="H6" s="314"/>
    </row>
    <row r="7" spans="2:8" ht="25.5" customHeight="1">
      <c r="B7" s="312" t="s">
        <v>530</v>
      </c>
      <c r="C7" s="313">
        <f>C6-C12-C23</f>
        <v>5048894753.24</v>
      </c>
      <c r="D7" s="313">
        <f>D6-D12-D23</f>
        <v>5206359987.220001</v>
      </c>
      <c r="E7" s="313">
        <f>E6-E12-E23</f>
        <v>5081169739.9</v>
      </c>
      <c r="F7" s="314">
        <f t="shared" si="0"/>
        <v>32.22803155875977</v>
      </c>
      <c r="G7" s="314">
        <f t="shared" si="1"/>
        <v>103.11880602935825</v>
      </c>
      <c r="H7" s="314">
        <f>IF($D$7=0,"",100*$D7/$D$7)</f>
        <v>100</v>
      </c>
    </row>
    <row r="8" spans="2:8" ht="22.5" customHeight="1">
      <c r="B8" s="315" t="s">
        <v>532</v>
      </c>
      <c r="C8" s="316">
        <f>2431790060.28</f>
        <v>2431790060.28</v>
      </c>
      <c r="D8" s="316">
        <f>2622058475</f>
        <v>2622058475</v>
      </c>
      <c r="E8" s="316">
        <f>2519125902.68</f>
        <v>2519125902.68</v>
      </c>
      <c r="F8" s="317">
        <f t="shared" si="0"/>
        <v>16.230875984112526</v>
      </c>
      <c r="G8" s="317">
        <f t="shared" si="1"/>
        <v>107.82421220597028</v>
      </c>
      <c r="H8" s="317">
        <f>IF($D$7=0,"",100*$D8/$D$7)</f>
        <v>50.36260422706728</v>
      </c>
    </row>
    <row r="9" spans="2:8" ht="22.5" customHeight="1">
      <c r="B9" s="315" t="s">
        <v>531</v>
      </c>
      <c r="C9" s="316">
        <f>112579994.22</f>
        <v>112579994.22</v>
      </c>
      <c r="D9" s="316">
        <f>137379024.08</f>
        <v>137379024.08</v>
      </c>
      <c r="E9" s="316">
        <f>137185113.09</f>
        <v>137185113.09</v>
      </c>
      <c r="F9" s="317">
        <f t="shared" si="0"/>
        <v>0.8503936597603486</v>
      </c>
      <c r="G9" s="317">
        <f t="shared" si="1"/>
        <v>122.0279189316164</v>
      </c>
      <c r="H9" s="317">
        <f>IF($D$7=0,"",100*$D9/$D$7)</f>
        <v>2.638677010756515</v>
      </c>
    </row>
    <row r="10" spans="2:8" ht="13.5" customHeight="1">
      <c r="B10" s="315" t="s">
        <v>543</v>
      </c>
      <c r="C10" s="316">
        <f>268972563.39</f>
        <v>268972563.39</v>
      </c>
      <c r="D10" s="318">
        <f>270050057.82</f>
        <v>270050057.82</v>
      </c>
      <c r="E10" s="316">
        <f>266774869.14</f>
        <v>266774869.14</v>
      </c>
      <c r="F10" s="317">
        <f t="shared" si="0"/>
        <v>1.6716442595655068</v>
      </c>
      <c r="G10" s="317">
        <f t="shared" si="1"/>
        <v>100.4005964089496</v>
      </c>
      <c r="H10" s="317">
        <f>IF($D$7=0,"",100*$D10/$D$7)</f>
        <v>5.186926345525264</v>
      </c>
    </row>
    <row r="11" spans="2:8" ht="13.5" customHeight="1">
      <c r="B11" s="315" t="s">
        <v>544</v>
      </c>
      <c r="C11" s="316">
        <f>C7-C9-C8-C10</f>
        <v>2235552135.3499994</v>
      </c>
      <c r="D11" s="316">
        <f>D7-D9-D8-D10</f>
        <v>2176872430.320001</v>
      </c>
      <c r="E11" s="316">
        <f>E7-E9-E8-E10</f>
        <v>2158083854.99</v>
      </c>
      <c r="F11" s="317">
        <f t="shared" si="0"/>
        <v>13.475117655321387</v>
      </c>
      <c r="G11" s="317">
        <f t="shared" si="1"/>
        <v>97.37515828407145</v>
      </c>
      <c r="H11" s="317">
        <f>IF($D$7=0,"",100*$D11/$D$7)</f>
        <v>41.81179241665094</v>
      </c>
    </row>
    <row r="12" spans="2:8" ht="25.5" customHeight="1">
      <c r="B12" s="312" t="s">
        <v>545</v>
      </c>
      <c r="C12" s="313">
        <f>C13+C15+C17+C19+C21</f>
        <v>3712111592.3500004</v>
      </c>
      <c r="D12" s="313">
        <f>D13+D15+D17+D19+D21</f>
        <v>3503137973.57</v>
      </c>
      <c r="E12" s="313">
        <f>E13+E15+E17+E19+E21</f>
        <v>3506392919.1300006</v>
      </c>
      <c r="F12" s="314">
        <f t="shared" si="0"/>
        <v>21.684870320922165</v>
      </c>
      <c r="G12" s="314">
        <f t="shared" si="1"/>
        <v>94.37049200755015</v>
      </c>
      <c r="H12" s="319"/>
    </row>
    <row r="13" spans="2:8" ht="22.5" customHeight="1">
      <c r="B13" s="315" t="s">
        <v>547</v>
      </c>
      <c r="C13" s="316">
        <f>1654121969</f>
        <v>1654121969</v>
      </c>
      <c r="D13" s="316">
        <f>1605332454.88</f>
        <v>1605332454.88</v>
      </c>
      <c r="E13" s="316">
        <f>1610444201.91</f>
        <v>1610444201.91</v>
      </c>
      <c r="F13" s="317">
        <f t="shared" si="0"/>
        <v>9.937212398906624</v>
      </c>
      <c r="G13" s="317">
        <f t="shared" si="1"/>
        <v>97.05042826137569</v>
      </c>
      <c r="H13" s="319"/>
    </row>
    <row r="14" spans="2:8" ht="13.5" customHeight="1">
      <c r="B14" s="320" t="s">
        <v>548</v>
      </c>
      <c r="C14" s="316">
        <f>131026128</f>
        <v>131026128</v>
      </c>
      <c r="D14" s="316">
        <f>121367604.73</f>
        <v>121367604.73</v>
      </c>
      <c r="E14" s="316">
        <f>121369846.8</f>
        <v>121369846.8</v>
      </c>
      <c r="F14" s="317">
        <f t="shared" si="0"/>
        <v>0.7512809342901549</v>
      </c>
      <c r="G14" s="317">
        <f t="shared" si="1"/>
        <v>92.62855171145712</v>
      </c>
      <c r="H14" s="319"/>
    </row>
    <row r="15" spans="2:8" ht="13.5" customHeight="1">
      <c r="B15" s="315" t="s">
        <v>549</v>
      </c>
      <c r="C15" s="316">
        <f>1377541759.97</f>
        <v>1377541759.97</v>
      </c>
      <c r="D15" s="316">
        <f>1249547248.87</f>
        <v>1249547248.87</v>
      </c>
      <c r="E15" s="316">
        <f>1249851445.06</f>
        <v>1249851445.06</v>
      </c>
      <c r="F15" s="317">
        <f t="shared" si="0"/>
        <v>7.734856650249936</v>
      </c>
      <c r="G15" s="317">
        <f t="shared" si="1"/>
        <v>90.70848414041636</v>
      </c>
      <c r="H15" s="319"/>
    </row>
    <row r="16" spans="2:8" ht="13.5" customHeight="1">
      <c r="B16" s="320" t="s">
        <v>548</v>
      </c>
      <c r="C16" s="316">
        <f>394545338.41</f>
        <v>394545338.41</v>
      </c>
      <c r="D16" s="316">
        <f>271023437.48</f>
        <v>271023437.48</v>
      </c>
      <c r="E16" s="316">
        <f>271059451.92</f>
        <v>271059451.92</v>
      </c>
      <c r="F16" s="317">
        <f t="shared" si="0"/>
        <v>1.6776696036596797</v>
      </c>
      <c r="G16" s="317">
        <f t="shared" si="1"/>
        <v>68.69259653965555</v>
      </c>
      <c r="H16" s="319"/>
    </row>
    <row r="17" spans="2:8" ht="33" customHeight="1">
      <c r="B17" s="315" t="s">
        <v>550</v>
      </c>
      <c r="C17" s="316">
        <f>79704034.67</f>
        <v>79704034.67</v>
      </c>
      <c r="D17" s="316">
        <f>73039503.04</f>
        <v>73039503.04</v>
      </c>
      <c r="E17" s="316">
        <f>73512259.34</f>
        <v>73512259.34</v>
      </c>
      <c r="F17" s="317">
        <f t="shared" si="0"/>
        <v>0.4521238283152514</v>
      </c>
      <c r="G17" s="317">
        <f t="shared" si="1"/>
        <v>91.6384011705389</v>
      </c>
      <c r="H17" s="319"/>
    </row>
    <row r="18" spans="2:8" ht="13.5" customHeight="1">
      <c r="B18" s="320" t="s">
        <v>548</v>
      </c>
      <c r="C18" s="316">
        <f>16666495</f>
        <v>16666495</v>
      </c>
      <c r="D18" s="316">
        <f>12007355.99</f>
        <v>12007355.99</v>
      </c>
      <c r="E18" s="316">
        <f>12007355.99</f>
        <v>12007355.99</v>
      </c>
      <c r="F18" s="317">
        <f t="shared" si="0"/>
        <v>0.07432706319441662</v>
      </c>
      <c r="G18" s="317">
        <f t="shared" si="1"/>
        <v>72.04487800224342</v>
      </c>
      <c r="H18" s="319"/>
    </row>
    <row r="19" spans="2:8" ht="33" customHeight="1">
      <c r="B19" s="315" t="s">
        <v>551</v>
      </c>
      <c r="C19" s="316">
        <f>510973115.63</f>
        <v>510973115.63</v>
      </c>
      <c r="D19" s="316">
        <f>491207253.23</f>
        <v>491207253.23</v>
      </c>
      <c r="E19" s="316">
        <f>488588839.61</f>
        <v>488588839.61</v>
      </c>
      <c r="F19" s="317">
        <f t="shared" si="0"/>
        <v>3.0406354723544777</v>
      </c>
      <c r="G19" s="317">
        <f t="shared" si="1"/>
        <v>96.13172165122037</v>
      </c>
      <c r="H19" s="319"/>
    </row>
    <row r="20" spans="2:8" ht="13.5" customHeight="1">
      <c r="B20" s="320" t="s">
        <v>548</v>
      </c>
      <c r="C20" s="316">
        <f>70305054.16</f>
        <v>70305054.16</v>
      </c>
      <c r="D20" s="316">
        <f>59207469.87</f>
        <v>59207469.87</v>
      </c>
      <c r="E20" s="316">
        <f>57538004.83</f>
        <v>57538004.83</v>
      </c>
      <c r="F20" s="317">
        <f t="shared" si="0"/>
        <v>0.3665017809311247</v>
      </c>
      <c r="G20" s="317">
        <f t="shared" si="1"/>
        <v>84.21509744556323</v>
      </c>
      <c r="H20" s="319"/>
    </row>
    <row r="21" spans="2:8" ht="22.5" customHeight="1">
      <c r="B21" s="315" t="s">
        <v>552</v>
      </c>
      <c r="C21" s="316">
        <f>89770713.08</f>
        <v>89770713.08</v>
      </c>
      <c r="D21" s="316">
        <f>84011513.55</f>
        <v>84011513.55</v>
      </c>
      <c r="E21" s="316">
        <f>83996173.21</f>
        <v>83996173.21</v>
      </c>
      <c r="F21" s="317">
        <f t="shared" si="0"/>
        <v>0.520041971095873</v>
      </c>
      <c r="G21" s="317">
        <f t="shared" si="1"/>
        <v>93.58454519029203</v>
      </c>
      <c r="H21" s="319"/>
    </row>
    <row r="22" spans="2:8" ht="13.5" customHeight="1">
      <c r="B22" s="320" t="s">
        <v>548</v>
      </c>
      <c r="C22" s="316">
        <f>55193051.83</f>
        <v>55193051.83</v>
      </c>
      <c r="D22" s="316">
        <f>51229838.47</f>
        <v>51229838.47</v>
      </c>
      <c r="E22" s="316">
        <f>51231569.52</f>
        <v>51231569.52</v>
      </c>
      <c r="F22" s="317">
        <f t="shared" si="0"/>
        <v>0.31711922629516753</v>
      </c>
      <c r="G22" s="317">
        <f t="shared" si="1"/>
        <v>92.8193618062522</v>
      </c>
      <c r="H22" s="319"/>
    </row>
    <row r="23" spans="2:8" ht="25.5" customHeight="1">
      <c r="B23" s="312" t="s">
        <v>553</v>
      </c>
      <c r="C23" s="313">
        <f>C26+C24+C25+C27</f>
        <v>7444158580</v>
      </c>
      <c r="D23" s="313">
        <f>D26+D24+D25+D27</f>
        <v>7445258428</v>
      </c>
      <c r="E23" s="313">
        <f>E26+E24+E25+E27</f>
        <v>7461317104</v>
      </c>
      <c r="F23" s="314">
        <f t="shared" si="0"/>
        <v>46.08709812031807</v>
      </c>
      <c r="G23" s="314">
        <f t="shared" si="1"/>
        <v>100.0147746449539</v>
      </c>
      <c r="H23" s="319"/>
    </row>
    <row r="24" spans="2:8" ht="13.5" customHeight="1">
      <c r="B24" s="315" t="s">
        <v>555</v>
      </c>
      <c r="C24" s="316">
        <f>5958048740</f>
        <v>5958048740</v>
      </c>
      <c r="D24" s="316">
        <f>5958163145</f>
        <v>5958163145</v>
      </c>
      <c r="E24" s="316">
        <f>5974221821</f>
        <v>5974221821</v>
      </c>
      <c r="F24" s="317">
        <f t="shared" si="0"/>
        <v>36.88178887757446</v>
      </c>
      <c r="G24" s="317">
        <f t="shared" si="1"/>
        <v>100.0019201756312</v>
      </c>
      <c r="H24" s="319"/>
    </row>
    <row r="25" spans="2:8" ht="13.5" customHeight="1">
      <c r="B25" s="315" t="s">
        <v>557</v>
      </c>
      <c r="C25" s="316">
        <f>349688690</f>
        <v>349688690</v>
      </c>
      <c r="D25" s="316">
        <f>349681294</f>
        <v>349681294</v>
      </c>
      <c r="E25" s="316">
        <f>349681294</f>
        <v>349681294</v>
      </c>
      <c r="F25" s="317">
        <f t="shared" si="0"/>
        <v>2.164571755737824</v>
      </c>
      <c r="G25" s="317">
        <f t="shared" si="1"/>
        <v>99.99788497591958</v>
      </c>
      <c r="H25" s="319"/>
    </row>
    <row r="26" spans="2:8" ht="13.5" customHeight="1">
      <c r="B26" s="315" t="s">
        <v>554</v>
      </c>
      <c r="C26" s="316">
        <f>997881548</f>
        <v>997881548</v>
      </c>
      <c r="D26" s="316">
        <f>997881548</f>
        <v>997881548</v>
      </c>
      <c r="E26" s="316">
        <f>997881548</f>
        <v>997881548</v>
      </c>
      <c r="F26" s="317">
        <f t="shared" si="0"/>
        <v>6.177013902186994</v>
      </c>
      <c r="G26" s="317">
        <f t="shared" si="1"/>
        <v>100</v>
      </c>
      <c r="H26" s="319"/>
    </row>
    <row r="27" spans="2:8" ht="18" customHeight="1">
      <c r="B27" s="315" t="s">
        <v>559</v>
      </c>
      <c r="C27" s="316">
        <f>138539602</f>
        <v>138539602</v>
      </c>
      <c r="D27" s="316">
        <f>139532441</f>
        <v>139532441</v>
      </c>
      <c r="E27" s="316">
        <f>139532441</f>
        <v>139532441</v>
      </c>
      <c r="F27" s="317">
        <f t="shared" si="0"/>
        <v>0.8637235848187931</v>
      </c>
      <c r="G27" s="317">
        <f t="shared" si="1"/>
        <v>100.71664634925109</v>
      </c>
      <c r="H27" s="319"/>
    </row>
    <row r="28" spans="1:13" ht="13.5" customHeight="1">
      <c r="A28" s="323"/>
      <c r="B28" s="324"/>
      <c r="C28" s="354"/>
      <c r="D28" s="355"/>
      <c r="E28" s="355"/>
      <c r="F28" s="327"/>
      <c r="G28" s="327"/>
      <c r="H28" s="327"/>
      <c r="I28" s="327"/>
      <c r="J28" s="327"/>
      <c r="K28" s="328"/>
      <c r="L28" s="328"/>
      <c r="M28" s="329"/>
    </row>
    <row r="29" spans="2:13" ht="13.5" customHeight="1">
      <c r="B29" s="356"/>
      <c r="C29" s="354"/>
      <c r="D29" s="355"/>
      <c r="E29" s="355"/>
      <c r="F29" s="357"/>
      <c r="G29" s="357"/>
      <c r="H29" s="357"/>
      <c r="I29" s="357"/>
      <c r="J29" s="357"/>
      <c r="K29" s="328"/>
      <c r="L29" s="328"/>
      <c r="M29" s="329"/>
    </row>
    <row r="30" spans="2:27" ht="29.25" customHeight="1">
      <c r="B30" s="419" t="s">
        <v>525</v>
      </c>
      <c r="C30" s="406" t="s">
        <v>618</v>
      </c>
      <c r="D30" s="406" t="s">
        <v>619</v>
      </c>
      <c r="E30" s="406" t="s">
        <v>620</v>
      </c>
      <c r="F30" s="406" t="s">
        <v>560</v>
      </c>
      <c r="G30" s="406"/>
      <c r="H30" s="406"/>
      <c r="I30" s="406" t="s">
        <v>621</v>
      </c>
      <c r="J30" s="406"/>
      <c r="K30" s="406" t="s">
        <v>526</v>
      </c>
      <c r="L30" s="416" t="s">
        <v>561</v>
      </c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</row>
    <row r="31" spans="2:27" ht="18" customHeight="1">
      <c r="B31" s="419"/>
      <c r="C31" s="406"/>
      <c r="D31" s="412"/>
      <c r="E31" s="406"/>
      <c r="F31" s="417" t="s">
        <v>622</v>
      </c>
      <c r="G31" s="418" t="s">
        <v>562</v>
      </c>
      <c r="H31" s="412"/>
      <c r="I31" s="406"/>
      <c r="J31" s="406"/>
      <c r="K31" s="406"/>
      <c r="L31" s="416"/>
      <c r="M31" s="331"/>
      <c r="N31" s="332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</row>
    <row r="32" spans="2:27" ht="43.5" customHeight="1">
      <c r="B32" s="419"/>
      <c r="C32" s="406"/>
      <c r="D32" s="412"/>
      <c r="E32" s="406"/>
      <c r="F32" s="412"/>
      <c r="G32" s="309" t="s">
        <v>623</v>
      </c>
      <c r="H32" s="309" t="s">
        <v>624</v>
      </c>
      <c r="I32" s="406"/>
      <c r="J32" s="406"/>
      <c r="K32" s="406"/>
      <c r="L32" s="416"/>
      <c r="M32" s="331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</row>
    <row r="33" spans="2:27" ht="13.5" customHeight="1">
      <c r="B33" s="419"/>
      <c r="C33" s="415"/>
      <c r="D33" s="415"/>
      <c r="E33" s="415"/>
      <c r="F33" s="415"/>
      <c r="G33" s="415"/>
      <c r="H33" s="415"/>
      <c r="I33" s="415"/>
      <c r="J33" s="415"/>
      <c r="K33" s="415" t="s">
        <v>12</v>
      </c>
      <c r="L33" s="415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</row>
    <row r="34" spans="2:27" ht="11.25" customHeight="1">
      <c r="B34" s="308">
        <v>1</v>
      </c>
      <c r="C34" s="310">
        <v>2</v>
      </c>
      <c r="D34" s="310">
        <v>3</v>
      </c>
      <c r="E34" s="310">
        <v>4</v>
      </c>
      <c r="F34" s="308">
        <v>5</v>
      </c>
      <c r="G34" s="308">
        <v>6</v>
      </c>
      <c r="H34" s="310">
        <v>7</v>
      </c>
      <c r="I34" s="412">
        <v>8</v>
      </c>
      <c r="J34" s="412"/>
      <c r="K34" s="308">
        <v>9</v>
      </c>
      <c r="L34" s="310">
        <v>10</v>
      </c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</row>
    <row r="35" spans="2:12" ht="25.5" customHeight="1">
      <c r="B35" s="312" t="s">
        <v>563</v>
      </c>
      <c r="C35" s="306">
        <f>16838202585.16</f>
        <v>16838202585.16</v>
      </c>
      <c r="D35" s="306">
        <f>16023955244.22</f>
        <v>16023955244.22</v>
      </c>
      <c r="E35" s="306">
        <f>16069643129.92</f>
        <v>16069643129.92</v>
      </c>
      <c r="F35" s="306">
        <f>713984675.35</f>
        <v>713984675.35</v>
      </c>
      <c r="G35" s="306">
        <f>3442933.06</f>
        <v>3442933.06</v>
      </c>
      <c r="H35" s="306">
        <f>1502529.34</f>
        <v>1502529.34</v>
      </c>
      <c r="I35" s="403">
        <v>152243945.11</v>
      </c>
      <c r="J35" s="404"/>
      <c r="K35" s="333">
        <f aca="true" t="shared" si="2" ref="K35:K45">IF($E$35=0,"",100*$E35/$E$35)</f>
        <v>100</v>
      </c>
      <c r="L35" s="333">
        <f aca="true" t="shared" si="3" ref="L35:L45">IF(C35=0,"",100*E35/C35)</f>
        <v>95.43562056963637</v>
      </c>
    </row>
    <row r="36" spans="2:12" ht="24" customHeight="1">
      <c r="B36" s="312" t="s">
        <v>564</v>
      </c>
      <c r="C36" s="307">
        <f>2474156704.14</f>
        <v>2474156704.14</v>
      </c>
      <c r="D36" s="307">
        <f>2085945786.38</f>
        <v>2085945786.38</v>
      </c>
      <c r="E36" s="307">
        <f>2107145994.55</f>
        <v>2107145994.55</v>
      </c>
      <c r="F36" s="307">
        <f>22504986.55</f>
        <v>22504986.55</v>
      </c>
      <c r="G36" s="307">
        <f>0</f>
        <v>0</v>
      </c>
      <c r="H36" s="307">
        <f>1009494.28</f>
        <v>1009494.28</v>
      </c>
      <c r="I36" s="476">
        <v>117633792.48</v>
      </c>
      <c r="J36" s="477"/>
      <c r="K36" s="333">
        <f t="shared" si="2"/>
        <v>13.112587364349826</v>
      </c>
      <c r="L36" s="333">
        <f t="shared" si="3"/>
        <v>85.16623021590016</v>
      </c>
    </row>
    <row r="37" spans="2:12" ht="22.5" customHeight="1">
      <c r="B37" s="315" t="s">
        <v>565</v>
      </c>
      <c r="C37" s="316">
        <f>2463628204.14</f>
        <v>2463628204.14</v>
      </c>
      <c r="D37" s="316">
        <f>2075803216.43</f>
        <v>2075803216.43</v>
      </c>
      <c r="E37" s="316">
        <f>2097003424.6</f>
        <v>2097003424.6</v>
      </c>
      <c r="F37" s="316">
        <f>22504986.55</f>
        <v>22504986.55</v>
      </c>
      <c r="G37" s="316">
        <f>0</f>
        <v>0</v>
      </c>
      <c r="H37" s="316">
        <f>1009494.28</f>
        <v>1009494.28</v>
      </c>
      <c r="I37" s="462">
        <v>117333792.48</v>
      </c>
      <c r="J37" s="463"/>
      <c r="K37" s="322">
        <f t="shared" si="2"/>
        <v>13.049471028361534</v>
      </c>
      <c r="L37" s="322">
        <f t="shared" si="3"/>
        <v>85.11850209687054</v>
      </c>
    </row>
    <row r="38" spans="2:12" ht="25.5" customHeight="1">
      <c r="B38" s="312" t="s">
        <v>566</v>
      </c>
      <c r="C38" s="307">
        <f aca="true" t="shared" si="4" ref="C38:H38">C35-C36</f>
        <v>14364045881.02</v>
      </c>
      <c r="D38" s="307">
        <f t="shared" si="4"/>
        <v>13938009457.84</v>
      </c>
      <c r="E38" s="307">
        <f t="shared" si="4"/>
        <v>13962497135.37</v>
      </c>
      <c r="F38" s="307">
        <f t="shared" si="4"/>
        <v>691479688.8000001</v>
      </c>
      <c r="G38" s="307">
        <f t="shared" si="4"/>
        <v>3442933.06</v>
      </c>
      <c r="H38" s="307">
        <f t="shared" si="4"/>
        <v>493035.06000000006</v>
      </c>
      <c r="I38" s="476">
        <v>34610152.63000001</v>
      </c>
      <c r="J38" s="477"/>
      <c r="K38" s="333">
        <f t="shared" si="2"/>
        <v>86.88741263565018</v>
      </c>
      <c r="L38" s="333">
        <f t="shared" si="3"/>
        <v>97.2044871690323</v>
      </c>
    </row>
    <row r="39" spans="2:12" ht="13.5" customHeight="1">
      <c r="B39" s="315" t="s">
        <v>567</v>
      </c>
      <c r="C39" s="316">
        <f>6999759758.79</f>
        <v>6999759758.79</v>
      </c>
      <c r="D39" s="316">
        <f>6942749015.62</f>
        <v>6942749015.62</v>
      </c>
      <c r="E39" s="316">
        <f>6954245091.39</f>
        <v>6954245091.39</v>
      </c>
      <c r="F39" s="316">
        <f>519092804</f>
        <v>519092804</v>
      </c>
      <c r="G39" s="316">
        <f>1518</f>
        <v>1518</v>
      </c>
      <c r="H39" s="316">
        <f>66922.79</f>
        <v>66922.79</v>
      </c>
      <c r="I39" s="462">
        <v>476926.44</v>
      </c>
      <c r="J39" s="463"/>
      <c r="K39" s="322">
        <f t="shared" si="2"/>
        <v>43.27566601925292</v>
      </c>
      <c r="L39" s="322">
        <f t="shared" si="3"/>
        <v>99.34976814964479</v>
      </c>
    </row>
    <row r="40" spans="2:12" ht="22.5" customHeight="1">
      <c r="B40" s="320" t="s">
        <v>568</v>
      </c>
      <c r="C40" s="334">
        <f>6369272565.88</f>
        <v>6369272565.88</v>
      </c>
      <c r="D40" s="334">
        <f>6318324972.52</f>
        <v>6318324972.52</v>
      </c>
      <c r="E40" s="334">
        <f>6331729451.96</f>
        <v>6331729451.96</v>
      </c>
      <c r="F40" s="334">
        <f>54251356.79</f>
        <v>54251356.79</v>
      </c>
      <c r="G40" s="334">
        <f>1518</f>
        <v>1518</v>
      </c>
      <c r="H40" s="334">
        <f>29692.99</f>
        <v>29692.99</v>
      </c>
      <c r="I40" s="478">
        <v>44869.71</v>
      </c>
      <c r="J40" s="479"/>
      <c r="K40" s="322">
        <f t="shared" si="2"/>
        <v>39.401805010660006</v>
      </c>
      <c r="L40" s="322">
        <f t="shared" si="3"/>
        <v>99.41055884276146</v>
      </c>
    </row>
    <row r="41" spans="2:12" ht="13.5" customHeight="1">
      <c r="B41" s="315" t="s">
        <v>569</v>
      </c>
      <c r="C41" s="316">
        <f>1546804226.12</f>
        <v>1546804226.12</v>
      </c>
      <c r="D41" s="316">
        <f>1509157118.66</f>
        <v>1509157118.66</v>
      </c>
      <c r="E41" s="316">
        <f>1509582151.85</f>
        <v>1509582151.85</v>
      </c>
      <c r="F41" s="316">
        <f>112668268.83</f>
        <v>112668268.83</v>
      </c>
      <c r="G41" s="316">
        <f>10109.75</f>
        <v>10109.75</v>
      </c>
      <c r="H41" s="316">
        <f>0</f>
        <v>0</v>
      </c>
      <c r="I41" s="462">
        <v>68931.02</v>
      </c>
      <c r="J41" s="463"/>
      <c r="K41" s="322">
        <f t="shared" si="2"/>
        <v>9.393999229760837</v>
      </c>
      <c r="L41" s="322">
        <f t="shared" si="3"/>
        <v>97.59361439272973</v>
      </c>
    </row>
    <row r="42" spans="2:12" ht="13.5" customHeight="1">
      <c r="B42" s="315" t="s">
        <v>570</v>
      </c>
      <c r="C42" s="334">
        <f>990475515.29</f>
        <v>990475515.29</v>
      </c>
      <c r="D42" s="334">
        <f>963604740.81</f>
        <v>963604740.81</v>
      </c>
      <c r="E42" s="334">
        <f>964346739.39</f>
        <v>964346739.39</v>
      </c>
      <c r="F42" s="334">
        <f>354225.94</f>
        <v>354225.94</v>
      </c>
      <c r="G42" s="334">
        <f>0</f>
        <v>0</v>
      </c>
      <c r="H42" s="334">
        <f>3140</f>
        <v>3140</v>
      </c>
      <c r="I42" s="478">
        <v>337884.29</v>
      </c>
      <c r="J42" s="479"/>
      <c r="K42" s="322">
        <f t="shared" si="2"/>
        <v>6.001046392837977</v>
      </c>
      <c r="L42" s="322">
        <f t="shared" si="3"/>
        <v>97.36199678874952</v>
      </c>
    </row>
    <row r="43" spans="2:12" ht="13.5" customHeight="1">
      <c r="B43" s="315" t="s">
        <v>571</v>
      </c>
      <c r="C43" s="316">
        <f>126314962.38</f>
        <v>126314962.38</v>
      </c>
      <c r="D43" s="316">
        <f>112461566.7</f>
        <v>112461566.7</v>
      </c>
      <c r="E43" s="316">
        <f>112374594.52</f>
        <v>112374594.52</v>
      </c>
      <c r="F43" s="316">
        <f>1769937.55</f>
        <v>1769937.55</v>
      </c>
      <c r="G43" s="316">
        <f>0</f>
        <v>0</v>
      </c>
      <c r="H43" s="316">
        <f>0</f>
        <v>0</v>
      </c>
      <c r="I43" s="462">
        <v>0</v>
      </c>
      <c r="J43" s="463"/>
      <c r="K43" s="322">
        <f t="shared" si="2"/>
        <v>0.699297387076196</v>
      </c>
      <c r="L43" s="322">
        <f t="shared" si="3"/>
        <v>88.96380318108123</v>
      </c>
    </row>
    <row r="44" spans="2:12" ht="22.5" customHeight="1">
      <c r="B44" s="315" t="s">
        <v>572</v>
      </c>
      <c r="C44" s="334">
        <f>67875242</f>
        <v>67875242</v>
      </c>
      <c r="D44" s="334">
        <f>23055524.6</f>
        <v>23055524.6</v>
      </c>
      <c r="E44" s="334">
        <f>22500248.97</f>
        <v>22500248.97</v>
      </c>
      <c r="F44" s="334">
        <f>0</f>
        <v>0</v>
      </c>
      <c r="G44" s="334">
        <f>0</f>
        <v>0</v>
      </c>
      <c r="H44" s="334">
        <f>0</f>
        <v>0</v>
      </c>
      <c r="I44" s="478">
        <v>0</v>
      </c>
      <c r="J44" s="479"/>
      <c r="K44" s="322">
        <f t="shared" si="2"/>
        <v>0.1400171042262095</v>
      </c>
      <c r="L44" s="322">
        <f t="shared" si="3"/>
        <v>33.1494198871512</v>
      </c>
    </row>
    <row r="45" spans="2:12" ht="13.5" customHeight="1">
      <c r="B45" s="315" t="s">
        <v>573</v>
      </c>
      <c r="C45" s="316">
        <f aca="true" t="shared" si="5" ref="C45:I45">C38-C39-C41-C42-C43-C44</f>
        <v>4632816176.440001</v>
      </c>
      <c r="D45" s="316">
        <f t="shared" si="5"/>
        <v>4386981491.45</v>
      </c>
      <c r="E45" s="316">
        <f t="shared" si="5"/>
        <v>4399448309.25</v>
      </c>
      <c r="F45" s="316">
        <f t="shared" si="5"/>
        <v>57594452.48000008</v>
      </c>
      <c r="G45" s="316">
        <f t="shared" si="5"/>
        <v>3431305.31</v>
      </c>
      <c r="H45" s="316">
        <f t="shared" si="5"/>
        <v>422972.2700000001</v>
      </c>
      <c r="I45" s="409">
        <f t="shared" si="5"/>
        <v>33726410.88000001</v>
      </c>
      <c r="J45" s="409">
        <f>J38-J39-J41-J42-J43</f>
        <v>0</v>
      </c>
      <c r="K45" s="322">
        <f t="shared" si="2"/>
        <v>27.377386502496037</v>
      </c>
      <c r="L45" s="322">
        <f t="shared" si="3"/>
        <v>94.96272119803105</v>
      </c>
    </row>
    <row r="46" spans="2:13" ht="24" customHeight="1">
      <c r="B46" s="312" t="s">
        <v>574</v>
      </c>
      <c r="C46" s="307">
        <f>C6-C35</f>
        <v>-633037659.5699997</v>
      </c>
      <c r="D46" s="307"/>
      <c r="E46" s="307">
        <f>D6-E35</f>
        <v>85113258.87000084</v>
      </c>
      <c r="F46" s="307"/>
      <c r="G46" s="307"/>
      <c r="H46" s="307"/>
      <c r="I46" s="410"/>
      <c r="J46" s="410"/>
      <c r="K46" s="335"/>
      <c r="L46" s="335"/>
      <c r="M46" s="336"/>
    </row>
    <row r="47" spans="2:13" ht="12" customHeight="1">
      <c r="B47" s="358"/>
      <c r="C47" s="359"/>
      <c r="D47" s="359"/>
      <c r="E47" s="359"/>
      <c r="F47" s="329"/>
      <c r="G47" s="329"/>
      <c r="H47" s="329"/>
      <c r="I47" s="329"/>
      <c r="L47" s="330"/>
      <c r="M47" s="330"/>
    </row>
    <row r="48" spans="2:13" ht="12" customHeight="1">
      <c r="B48" s="358"/>
      <c r="C48" s="359"/>
      <c r="D48" s="359"/>
      <c r="E48" s="359"/>
      <c r="F48" s="329"/>
      <c r="G48" s="329"/>
      <c r="H48" s="329"/>
      <c r="I48" s="329"/>
      <c r="L48" s="330"/>
      <c r="M48" s="330"/>
    </row>
    <row r="49" spans="2:9" ht="18" customHeight="1">
      <c r="B49" s="411" t="s">
        <v>463</v>
      </c>
      <c r="C49" s="411"/>
      <c r="D49" s="412" t="s">
        <v>575</v>
      </c>
      <c r="E49" s="412"/>
      <c r="F49" s="412" t="s">
        <v>576</v>
      </c>
      <c r="G49" s="412"/>
      <c r="H49" s="310" t="s">
        <v>577</v>
      </c>
      <c r="I49" s="310" t="s">
        <v>578</v>
      </c>
    </row>
    <row r="50" spans="2:10" ht="13.5" customHeight="1">
      <c r="B50" s="411"/>
      <c r="C50" s="411"/>
      <c r="D50" s="406"/>
      <c r="E50" s="406"/>
      <c r="F50" s="406"/>
      <c r="G50" s="406"/>
      <c r="H50" s="413" t="s">
        <v>12</v>
      </c>
      <c r="I50" s="413"/>
      <c r="J50" s="339"/>
    </row>
    <row r="51" spans="2:10" ht="11.25" customHeight="1">
      <c r="B51" s="405">
        <v>1</v>
      </c>
      <c r="C51" s="406"/>
      <c r="D51" s="407">
        <v>2</v>
      </c>
      <c r="E51" s="407"/>
      <c r="F51" s="407">
        <v>3</v>
      </c>
      <c r="G51" s="407"/>
      <c r="H51" s="340">
        <v>4</v>
      </c>
      <c r="I51" s="340">
        <v>5</v>
      </c>
      <c r="J51" s="330"/>
    </row>
    <row r="52" spans="2:10" ht="25.5" customHeight="1">
      <c r="B52" s="402" t="s">
        <v>579</v>
      </c>
      <c r="C52" s="402"/>
      <c r="D52" s="403">
        <f>648065243.27</f>
        <v>648065243.27</v>
      </c>
      <c r="E52" s="404"/>
      <c r="F52" s="403">
        <f>647641827.96</f>
        <v>647641827.96</v>
      </c>
      <c r="G52" s="404"/>
      <c r="H52" s="333"/>
      <c r="I52" s="333"/>
      <c r="J52" s="341"/>
    </row>
    <row r="53" spans="2:9" ht="25.5" customHeight="1">
      <c r="B53" s="401" t="s">
        <v>580</v>
      </c>
      <c r="C53" s="402"/>
      <c r="D53" s="403">
        <f>1478283650.87</f>
        <v>1478283650.87</v>
      </c>
      <c r="E53" s="404"/>
      <c r="F53" s="403">
        <f>1476954616.91</f>
        <v>1476954616.91</v>
      </c>
      <c r="G53" s="404"/>
      <c r="H53" s="295">
        <f aca="true" t="shared" si="6" ref="H53:H65">IF($F$53=0,"",100*$F53/$F$53)</f>
        <v>100</v>
      </c>
      <c r="I53" s="333">
        <f aca="true" t="shared" si="7" ref="I53:I74">IF(D53=0,"",100*F53/D53)</f>
        <v>99.91009614702715</v>
      </c>
    </row>
    <row r="54" spans="2:9" ht="13.5" customHeight="1">
      <c r="B54" s="398" t="s">
        <v>581</v>
      </c>
      <c r="C54" s="398"/>
      <c r="D54" s="399">
        <f>952876143.95</f>
        <v>952876143.95</v>
      </c>
      <c r="E54" s="400"/>
      <c r="F54" s="399">
        <f>844020446.16</f>
        <v>844020446.16</v>
      </c>
      <c r="G54" s="400"/>
      <c r="H54" s="322">
        <f t="shared" si="6"/>
        <v>57.14599734457727</v>
      </c>
      <c r="I54" s="322">
        <f t="shared" si="7"/>
        <v>88.57609160632822</v>
      </c>
    </row>
    <row r="55" spans="2:9" ht="33.75" customHeight="1">
      <c r="B55" s="396" t="s">
        <v>666</v>
      </c>
      <c r="C55" s="396" t="s">
        <v>583</v>
      </c>
      <c r="D55" s="399">
        <f>178874355.86</f>
        <v>178874355.86</v>
      </c>
      <c r="E55" s="400"/>
      <c r="F55" s="399">
        <f>159336694.26</f>
        <v>159336694.26</v>
      </c>
      <c r="G55" s="400"/>
      <c r="H55" s="322">
        <f t="shared" si="6"/>
        <v>10.788191623203366</v>
      </c>
      <c r="I55" s="322">
        <f t="shared" si="7"/>
        <v>89.07743845893059</v>
      </c>
    </row>
    <row r="56" spans="2:9" ht="13.5" customHeight="1">
      <c r="B56" s="398" t="s">
        <v>584</v>
      </c>
      <c r="C56" s="398" t="s">
        <v>585</v>
      </c>
      <c r="D56" s="399">
        <f>19043176</f>
        <v>19043176</v>
      </c>
      <c r="E56" s="400"/>
      <c r="F56" s="399">
        <f>27918697.03</f>
        <v>27918697.03</v>
      </c>
      <c r="G56" s="400"/>
      <c r="H56" s="322">
        <f t="shared" si="6"/>
        <v>1.8902880772606203</v>
      </c>
      <c r="I56" s="322">
        <f t="shared" si="7"/>
        <v>146.60735703960304</v>
      </c>
    </row>
    <row r="57" spans="2:9" ht="13.5" customHeight="1">
      <c r="B57" s="398" t="s">
        <v>586</v>
      </c>
      <c r="C57" s="398" t="s">
        <v>587</v>
      </c>
      <c r="D57" s="399">
        <f>67175868.91</f>
        <v>67175868.91</v>
      </c>
      <c r="E57" s="400"/>
      <c r="F57" s="399">
        <f>101945785.87</f>
        <v>101945785.87</v>
      </c>
      <c r="G57" s="400"/>
      <c r="H57" s="322">
        <f t="shared" si="6"/>
        <v>6.90243184880556</v>
      </c>
      <c r="I57" s="322">
        <f t="shared" si="7"/>
        <v>151.75953437473743</v>
      </c>
    </row>
    <row r="58" spans="2:9" ht="13.5" customHeight="1">
      <c r="B58" s="396" t="s">
        <v>588</v>
      </c>
      <c r="C58" s="396" t="s">
        <v>589</v>
      </c>
      <c r="D58" s="399">
        <f>40008319.67</f>
        <v>40008319.67</v>
      </c>
      <c r="E58" s="400"/>
      <c r="F58" s="399">
        <f>17156196.67</f>
        <v>17156196.67</v>
      </c>
      <c r="G58" s="400"/>
      <c r="H58" s="322">
        <f t="shared" si="6"/>
        <v>1.1615926768212563</v>
      </c>
      <c r="I58" s="322">
        <f t="shared" si="7"/>
        <v>42.881572661659355</v>
      </c>
    </row>
    <row r="59" spans="2:9" ht="13.5" customHeight="1">
      <c r="B59" s="398" t="s">
        <v>590</v>
      </c>
      <c r="C59" s="398" t="s">
        <v>591</v>
      </c>
      <c r="D59" s="399">
        <f>6000000</f>
        <v>6000000</v>
      </c>
      <c r="E59" s="400"/>
      <c r="F59" s="399">
        <f>3500000</f>
        <v>3500000</v>
      </c>
      <c r="G59" s="400"/>
      <c r="H59" s="322">
        <f t="shared" si="6"/>
        <v>0.23697410603736083</v>
      </c>
      <c r="I59" s="322">
        <f t="shared" si="7"/>
        <v>58.333333333333336</v>
      </c>
    </row>
    <row r="60" spans="2:9" ht="34.5" customHeight="1">
      <c r="B60" s="396" t="s">
        <v>666</v>
      </c>
      <c r="C60" s="396" t="s">
        <v>583</v>
      </c>
      <c r="D60" s="399">
        <f>1603861</f>
        <v>1603861</v>
      </c>
      <c r="E60" s="400"/>
      <c r="F60" s="399">
        <f>1603861</f>
        <v>1603861</v>
      </c>
      <c r="G60" s="400"/>
      <c r="H60" s="322">
        <f t="shared" si="6"/>
        <v>0.10859243619519646</v>
      </c>
      <c r="I60" s="322">
        <f t="shared" si="7"/>
        <v>100</v>
      </c>
    </row>
    <row r="61" spans="2:9" ht="22.5" customHeight="1">
      <c r="B61" s="398" t="s">
        <v>592</v>
      </c>
      <c r="C61" s="398" t="s">
        <v>593</v>
      </c>
      <c r="D61" s="399">
        <f>105256191</f>
        <v>105256191</v>
      </c>
      <c r="E61" s="400"/>
      <c r="F61" s="399">
        <f>101020000</f>
        <v>101020000</v>
      </c>
      <c r="G61" s="400"/>
      <c r="H61" s="322">
        <f t="shared" si="6"/>
        <v>6.839749769112626</v>
      </c>
      <c r="I61" s="322">
        <f t="shared" si="7"/>
        <v>95.97535217667149</v>
      </c>
    </row>
    <row r="62" spans="2:9" ht="36" customHeight="1">
      <c r="B62" s="396" t="s">
        <v>666</v>
      </c>
      <c r="C62" s="396" t="s">
        <v>583</v>
      </c>
      <c r="D62" s="399">
        <f>4269202</f>
        <v>4269202</v>
      </c>
      <c r="E62" s="400"/>
      <c r="F62" s="399">
        <f>4269202</f>
        <v>4269202</v>
      </c>
      <c r="G62" s="400"/>
      <c r="H62" s="322">
        <f t="shared" si="6"/>
        <v>0.2890543792694037</v>
      </c>
      <c r="I62" s="322">
        <f t="shared" si="7"/>
        <v>100</v>
      </c>
    </row>
    <row r="63" spans="2:9" ht="13.5" customHeight="1">
      <c r="B63" s="398" t="s">
        <v>594</v>
      </c>
      <c r="C63" s="398" t="s">
        <v>595</v>
      </c>
      <c r="D63" s="399">
        <f>700</f>
        <v>700</v>
      </c>
      <c r="E63" s="400"/>
      <c r="F63" s="399">
        <f>700</f>
        <v>700</v>
      </c>
      <c r="G63" s="400"/>
      <c r="H63" s="322">
        <f t="shared" si="6"/>
        <v>4.739482120747217E-05</v>
      </c>
      <c r="I63" s="322">
        <f t="shared" si="7"/>
        <v>100</v>
      </c>
    </row>
    <row r="64" spans="2:9" ht="13.5" customHeight="1">
      <c r="B64" s="398" t="s">
        <v>596</v>
      </c>
      <c r="C64" s="398" t="s">
        <v>597</v>
      </c>
      <c r="D64" s="399">
        <f>327931571.01</f>
        <v>327931571.01</v>
      </c>
      <c r="E64" s="400"/>
      <c r="F64" s="399">
        <f>398548987.85</f>
        <v>398548987.85</v>
      </c>
      <c r="G64" s="400"/>
      <c r="H64" s="322">
        <f t="shared" si="6"/>
        <v>26.984511459385352</v>
      </c>
      <c r="I64" s="322">
        <f t="shared" si="7"/>
        <v>121.53419282641944</v>
      </c>
    </row>
    <row r="65" spans="2:9" ht="13.5" customHeight="1">
      <c r="B65" s="396" t="s">
        <v>588</v>
      </c>
      <c r="C65" s="396" t="s">
        <v>589</v>
      </c>
      <c r="D65" s="399">
        <f>200931632.74</f>
        <v>200931632.74</v>
      </c>
      <c r="E65" s="400"/>
      <c r="F65" s="399">
        <f>83506358.2</f>
        <v>83506358.2</v>
      </c>
      <c r="G65" s="400"/>
      <c r="H65" s="322">
        <f t="shared" si="6"/>
        <v>5.653955595108753</v>
      </c>
      <c r="I65" s="322">
        <f t="shared" si="7"/>
        <v>41.559587737016464</v>
      </c>
    </row>
    <row r="66" spans="2:9" ht="25.5" customHeight="1">
      <c r="B66" s="401" t="s">
        <v>598</v>
      </c>
      <c r="C66" s="402" t="s">
        <v>599</v>
      </c>
      <c r="D66" s="403">
        <f>830218407.6</f>
        <v>830218407.6</v>
      </c>
      <c r="E66" s="404"/>
      <c r="F66" s="403">
        <f>829312788.95</f>
        <v>829312788.95</v>
      </c>
      <c r="G66" s="404"/>
      <c r="H66" s="295">
        <f aca="true" t="shared" si="8" ref="H66:H74">IF($F$66=0,"",100*$F66/$F$66)</f>
        <v>100</v>
      </c>
      <c r="I66" s="333">
        <f t="shared" si="7"/>
        <v>99.89091802329246</v>
      </c>
    </row>
    <row r="67" spans="2:9" ht="13.5" customHeight="1">
      <c r="B67" s="398" t="s">
        <v>600</v>
      </c>
      <c r="C67" s="398" t="s">
        <v>601</v>
      </c>
      <c r="D67" s="399">
        <f>712749635.22</f>
        <v>712749635.22</v>
      </c>
      <c r="E67" s="400"/>
      <c r="F67" s="399">
        <f>703984188.72</f>
        <v>703984188.72</v>
      </c>
      <c r="G67" s="400"/>
      <c r="H67" s="322">
        <f t="shared" si="8"/>
        <v>84.88765615339423</v>
      </c>
      <c r="I67" s="322">
        <f t="shared" si="7"/>
        <v>98.77019277641658</v>
      </c>
    </row>
    <row r="68" spans="2:9" ht="35.25" customHeight="1">
      <c r="B68" s="396" t="s">
        <v>666</v>
      </c>
      <c r="C68" s="396" t="s">
        <v>583</v>
      </c>
      <c r="D68" s="399">
        <f>210330508.83</f>
        <v>210330508.83</v>
      </c>
      <c r="E68" s="400"/>
      <c r="F68" s="399">
        <f>206116266.48</f>
        <v>206116266.48</v>
      </c>
      <c r="G68" s="400"/>
      <c r="H68" s="322">
        <f t="shared" si="8"/>
        <v>24.853863249952475</v>
      </c>
      <c r="I68" s="322">
        <f t="shared" si="7"/>
        <v>97.9963713426823</v>
      </c>
    </row>
    <row r="69" spans="2:9" ht="13.5" customHeight="1">
      <c r="B69" s="398" t="s">
        <v>602</v>
      </c>
      <c r="C69" s="398" t="s">
        <v>603</v>
      </c>
      <c r="D69" s="399">
        <f>32889170</f>
        <v>32889170</v>
      </c>
      <c r="E69" s="400"/>
      <c r="F69" s="399">
        <f>36450681.25</f>
        <v>36450681.25</v>
      </c>
      <c r="G69" s="400"/>
      <c r="H69" s="322">
        <f t="shared" si="8"/>
        <v>4.395287488108138</v>
      </c>
      <c r="I69" s="322">
        <f t="shared" si="7"/>
        <v>110.82882678401431</v>
      </c>
    </row>
    <row r="70" spans="2:9" ht="13.5" customHeight="1">
      <c r="B70" s="398" t="s">
        <v>604</v>
      </c>
      <c r="C70" s="398" t="s">
        <v>605</v>
      </c>
      <c r="D70" s="399">
        <f>7300000</f>
        <v>7300000</v>
      </c>
      <c r="E70" s="400"/>
      <c r="F70" s="399">
        <f>7300000</f>
        <v>7300000</v>
      </c>
      <c r="G70" s="400"/>
      <c r="H70" s="322">
        <f t="shared" si="8"/>
        <v>0.8802468860081842</v>
      </c>
      <c r="I70" s="322">
        <f t="shared" si="7"/>
        <v>100</v>
      </c>
    </row>
    <row r="71" spans="2:9" ht="36" customHeight="1">
      <c r="B71" s="396" t="s">
        <v>666</v>
      </c>
      <c r="C71" s="396" t="s">
        <v>583</v>
      </c>
      <c r="D71" s="399">
        <f>0</f>
        <v>0</v>
      </c>
      <c r="E71" s="400"/>
      <c r="F71" s="399">
        <f>0</f>
        <v>0</v>
      </c>
      <c r="G71" s="400"/>
      <c r="H71" s="322">
        <f t="shared" si="8"/>
        <v>0</v>
      </c>
      <c r="I71" s="322">
        <f t="shared" si="7"/>
      </c>
    </row>
    <row r="72" spans="2:9" ht="13.5" customHeight="1">
      <c r="B72" s="398" t="s">
        <v>606</v>
      </c>
      <c r="C72" s="398" t="s">
        <v>607</v>
      </c>
      <c r="D72" s="399">
        <f>63110000</f>
        <v>63110000</v>
      </c>
      <c r="E72" s="400"/>
      <c r="F72" s="399">
        <f>63110000</f>
        <v>63110000</v>
      </c>
      <c r="G72" s="400"/>
      <c r="H72" s="322">
        <f t="shared" si="8"/>
        <v>7.609915202188562</v>
      </c>
      <c r="I72" s="322">
        <f t="shared" si="7"/>
        <v>100</v>
      </c>
    </row>
    <row r="73" spans="2:9" ht="36" customHeight="1">
      <c r="B73" s="396" t="s">
        <v>666</v>
      </c>
      <c r="C73" s="396" t="s">
        <v>583</v>
      </c>
      <c r="D73" s="399">
        <f>1900000</f>
        <v>1900000</v>
      </c>
      <c r="E73" s="400"/>
      <c r="F73" s="399">
        <f>1900000</f>
        <v>1900000</v>
      </c>
      <c r="G73" s="400"/>
      <c r="H73" s="322">
        <f t="shared" si="8"/>
        <v>0.22910535389254108</v>
      </c>
      <c r="I73" s="322">
        <f t="shared" si="7"/>
        <v>100</v>
      </c>
    </row>
    <row r="74" spans="2:9" ht="13.5" customHeight="1">
      <c r="B74" s="398" t="s">
        <v>608</v>
      </c>
      <c r="C74" s="398" t="s">
        <v>609</v>
      </c>
      <c r="D74" s="399">
        <f>14169602.38</f>
        <v>14169602.38</v>
      </c>
      <c r="E74" s="400"/>
      <c r="F74" s="399">
        <f>18467918.98</f>
        <v>18467918.98</v>
      </c>
      <c r="G74" s="400"/>
      <c r="H74" s="322">
        <f t="shared" si="8"/>
        <v>2.2268942703008823</v>
      </c>
      <c r="I74" s="322">
        <f t="shared" si="7"/>
        <v>130.33477217446097</v>
      </c>
    </row>
  </sheetData>
  <mergeCells count="106">
    <mergeCell ref="B1:H1"/>
    <mergeCell ref="B73:C73"/>
    <mergeCell ref="D73:E73"/>
    <mergeCell ref="F73:G73"/>
    <mergeCell ref="B69:C69"/>
    <mergeCell ref="D69:E69"/>
    <mergeCell ref="F69:G69"/>
    <mergeCell ref="B70:C70"/>
    <mergeCell ref="D70:E70"/>
    <mergeCell ref="F70:G70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50"/>
    <mergeCell ref="D49:E49"/>
    <mergeCell ref="F49:G49"/>
    <mergeCell ref="D50:G50"/>
    <mergeCell ref="I41:J41"/>
    <mergeCell ref="I42:J42"/>
    <mergeCell ref="H50:I50"/>
    <mergeCell ref="I43:J43"/>
    <mergeCell ref="I44:J44"/>
    <mergeCell ref="I45:J45"/>
    <mergeCell ref="I46:J46"/>
    <mergeCell ref="I37:J37"/>
    <mergeCell ref="I38:J38"/>
    <mergeCell ref="I39:J39"/>
    <mergeCell ref="I40:J40"/>
    <mergeCell ref="K33:L33"/>
    <mergeCell ref="I34:J34"/>
    <mergeCell ref="I35:J35"/>
    <mergeCell ref="I36:J36"/>
    <mergeCell ref="L30:L32"/>
    <mergeCell ref="F31:F32"/>
    <mergeCell ref="G31:H31"/>
    <mergeCell ref="B30:B33"/>
    <mergeCell ref="C30:C32"/>
    <mergeCell ref="D30:D32"/>
    <mergeCell ref="E30:E32"/>
    <mergeCell ref="C33:J33"/>
    <mergeCell ref="F30:H30"/>
    <mergeCell ref="I30:J32"/>
    <mergeCell ref="B3:B4"/>
    <mergeCell ref="C4:E4"/>
    <mergeCell ref="F4:H4"/>
    <mergeCell ref="K30:K32"/>
  </mergeCells>
  <printOptions horizontalCentered="1"/>
  <pageMargins left="0.2362204724409449" right="0.15748031496062992" top="0.5118110236220472" bottom="0.2362204724409449" header="0.1968503937007874" footer="0.1968503937007874"/>
  <pageSetup horizontalDpi="1200" verticalDpi="1200" orientation="landscape" paperSize="9" r:id="rId1"/>
  <headerFooter alignWithMargins="0">
    <oddFooter>&amp;RStrona &amp;P z 5</oddFooter>
  </headerFooter>
  <rowBreaks count="2" manualBreakCount="2">
    <brk id="2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MIN-PBR</dc:creator>
  <cp:keywords/>
  <dc:description/>
  <cp:lastModifiedBy>Małgorzata Rółkowska</cp:lastModifiedBy>
  <cp:lastPrinted>2008-06-20T08:42:32Z</cp:lastPrinted>
  <dcterms:created xsi:type="dcterms:W3CDTF">2006-10-16T07:27:24Z</dcterms:created>
  <dcterms:modified xsi:type="dcterms:W3CDTF">2011-08-03T10:24:11Z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